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勇輝\Desktop\"/>
    </mc:Choice>
  </mc:AlternateContent>
  <xr:revisionPtr revIDLastSave="0" documentId="13_ncr:1_{01E0509C-D651-46C4-BCDD-DD7F883AF95B}" xr6:coauthVersionLast="47" xr6:coauthVersionMax="47" xr10:uidLastSave="{00000000-0000-0000-0000-000000000000}"/>
  <workbookProtection workbookAlgorithmName="SHA-512" workbookHashValue="iO9YzcmGP6I/YYp1U1n0Bymn1t5XN6E7OuilLoYITrxp6Smhp4TUiVgU+8PgtAijrPO2IJ4Ng/bUawwVJcrg9g==" workbookSaltValue="d7vmWsfoF8uZE1uBoQ3J9A==" workbookSpinCount="100000" lockStructure="1"/>
  <bookViews>
    <workbookView xWindow="-120" yWindow="-120" windowWidth="20730" windowHeight="11160" xr2:uid="{363F5DB3-A8F0-4720-B430-CBA442FA84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X12" i="1"/>
  <c r="Y12" i="1"/>
  <c r="AA37" i="1" s="1"/>
  <c r="X14" i="1" l="1"/>
  <c r="Q34" i="1"/>
  <c r="C31" i="1"/>
  <c r="E30" i="1"/>
  <c r="C30" i="1"/>
  <c r="X11" i="1"/>
  <c r="O4" i="1" s="1"/>
  <c r="X13" i="1"/>
  <c r="X17" i="1" l="1"/>
  <c r="O5" i="1" s="1"/>
  <c r="W32" i="1"/>
  <c r="W31" i="1"/>
  <c r="W30" i="1"/>
  <c r="W29" i="1"/>
  <c r="W28" i="1"/>
  <c r="W27" i="1"/>
  <c r="W26" i="1"/>
  <c r="W25" i="1"/>
  <c r="W24" i="1"/>
  <c r="W23" i="1"/>
  <c r="W22" i="1"/>
  <c r="U32" i="1"/>
  <c r="U31" i="1"/>
  <c r="U30" i="1"/>
  <c r="U29" i="1"/>
  <c r="U28" i="1"/>
  <c r="U27" i="1"/>
  <c r="U26" i="1"/>
  <c r="U25" i="1"/>
  <c r="U24" i="1"/>
  <c r="U23" i="1"/>
  <c r="U22" i="1"/>
  <c r="D19" i="1"/>
  <c r="B7" i="1"/>
  <c r="X16" i="1" s="1"/>
  <c r="AA25" i="1" l="1"/>
  <c r="V24" i="1"/>
  <c r="V26" i="1"/>
  <c r="V28" i="1"/>
  <c r="V30" i="1"/>
  <c r="V32" i="1"/>
  <c r="V23" i="1"/>
  <c r="V25" i="1"/>
  <c r="V27" i="1"/>
  <c r="V29" i="1"/>
  <c r="V31" i="1"/>
  <c r="V22" i="1"/>
  <c r="AA26" i="1"/>
  <c r="C25" i="1" l="1"/>
  <c r="AA27" i="1"/>
  <c r="AD27" i="1" s="1"/>
  <c r="AA43" i="1"/>
  <c r="AA42" i="1"/>
  <c r="AA44" i="1"/>
  <c r="AA40" i="1"/>
  <c r="AA38" i="1"/>
  <c r="AA41" i="1"/>
  <c r="AA39" i="1"/>
  <c r="AA36" i="1"/>
  <c r="AA20" i="1"/>
  <c r="AA35" i="1"/>
  <c r="AA34" i="1"/>
  <c r="AA23" i="1"/>
  <c r="AB23" i="1" s="1"/>
  <c r="AA24" i="1"/>
  <c r="AB24" i="1" s="1"/>
  <c r="P13" i="1" s="1"/>
  <c r="AA21" i="1"/>
  <c r="AA22" i="1"/>
  <c r="AD23" i="1"/>
  <c r="AA30" i="1"/>
  <c r="AA28" i="1"/>
  <c r="AA29" i="1"/>
  <c r="AB27" i="1"/>
  <c r="AD25" i="1"/>
  <c r="AB25" i="1"/>
  <c r="AD26" i="1"/>
  <c r="AB26" i="1"/>
  <c r="AE23" i="1" l="1"/>
  <c r="P12" i="1"/>
  <c r="AE26" i="1"/>
  <c r="P15" i="1"/>
  <c r="AE25" i="1"/>
  <c r="P14" i="1"/>
  <c r="AE27" i="1"/>
  <c r="P16" i="1"/>
  <c r="AD24" i="1"/>
  <c r="AB34" i="1"/>
  <c r="AD34" i="1"/>
  <c r="AC34" i="1"/>
  <c r="AD39" i="1"/>
  <c r="AB39" i="1"/>
  <c r="AD37" i="1"/>
  <c r="AB37" i="1"/>
  <c r="AB40" i="1"/>
  <c r="AD40" i="1"/>
  <c r="AB42" i="1"/>
  <c r="AD42" i="1"/>
  <c r="AD35" i="1"/>
  <c r="AB35" i="1"/>
  <c r="AB36" i="1"/>
  <c r="AD36" i="1"/>
  <c r="AC36" i="1"/>
  <c r="AD41" i="1"/>
  <c r="AB41" i="1"/>
  <c r="AB38" i="1"/>
  <c r="AD38" i="1"/>
  <c r="AB44" i="1"/>
  <c r="AD44" i="1"/>
  <c r="AD43" i="1"/>
  <c r="AB43" i="1"/>
  <c r="AE24" i="1"/>
  <c r="AC24" i="1"/>
  <c r="AC23" i="1"/>
  <c r="AD29" i="1"/>
  <c r="AB29" i="1"/>
  <c r="AD30" i="1"/>
  <c r="AB30" i="1"/>
  <c r="AB20" i="1"/>
  <c r="AD20" i="1"/>
  <c r="AC26" i="1"/>
  <c r="AF26" i="1" s="1"/>
  <c r="AC25" i="1"/>
  <c r="AC27" i="1"/>
  <c r="AF27" i="1" s="1"/>
  <c r="AD28" i="1"/>
  <c r="AB28" i="1"/>
  <c r="AD22" i="1"/>
  <c r="AB22" i="1"/>
  <c r="AB21" i="1"/>
  <c r="AD21" i="1"/>
  <c r="AE22" i="1" l="1"/>
  <c r="P11" i="1"/>
  <c r="AE28" i="1"/>
  <c r="P17" i="1"/>
  <c r="P3" i="1" s="1"/>
  <c r="P6" i="1" s="1"/>
  <c r="P7" i="1" s="1"/>
  <c r="C34" i="1" s="1"/>
  <c r="AC20" i="1"/>
  <c r="P9" i="1"/>
  <c r="AC43" i="1"/>
  <c r="O18" i="1"/>
  <c r="AC41" i="1"/>
  <c r="O16" i="1"/>
  <c r="AE36" i="1"/>
  <c r="AF36" i="1" s="1"/>
  <c r="O11" i="1"/>
  <c r="AE42" i="1"/>
  <c r="O17" i="1"/>
  <c r="AE40" i="1"/>
  <c r="O15" i="1"/>
  <c r="AE21" i="1"/>
  <c r="P10" i="1"/>
  <c r="AF25" i="1"/>
  <c r="AE30" i="1"/>
  <c r="P19" i="1"/>
  <c r="AE29" i="1"/>
  <c r="P18" i="1"/>
  <c r="AF23" i="1"/>
  <c r="AE44" i="1"/>
  <c r="O19" i="1"/>
  <c r="AE38" i="1"/>
  <c r="O13" i="1"/>
  <c r="AE35" i="1"/>
  <c r="O10" i="1"/>
  <c r="AE37" i="1"/>
  <c r="O12" i="1"/>
  <c r="O3" i="1" s="1"/>
  <c r="O6" i="1" s="1"/>
  <c r="O7" i="1" s="1"/>
  <c r="C33" i="1" s="1"/>
  <c r="AC39" i="1"/>
  <c r="O14" i="1"/>
  <c r="AE34" i="1"/>
  <c r="AF34" i="1" s="1"/>
  <c r="O9" i="1"/>
  <c r="AF24" i="1"/>
  <c r="AC44" i="1"/>
  <c r="AC40" i="1"/>
  <c r="AF40" i="1" s="1"/>
  <c r="Z3" i="1"/>
  <c r="AC38" i="1"/>
  <c r="AF38" i="1" s="1"/>
  <c r="AC42" i="1"/>
  <c r="AE43" i="1"/>
  <c r="AF43" i="1" s="1"/>
  <c r="AE41" i="1"/>
  <c r="AC35" i="1"/>
  <c r="AF35" i="1" s="1"/>
  <c r="AC37" i="1"/>
  <c r="AE39" i="1"/>
  <c r="AF39" i="1" s="1"/>
  <c r="AC22" i="1"/>
  <c r="AF22" i="1" s="1"/>
  <c r="AC28" i="1"/>
  <c r="AE20" i="1"/>
  <c r="AC21" i="1"/>
  <c r="AC30" i="1"/>
  <c r="AC29" i="1"/>
  <c r="AF29" i="1" s="1"/>
  <c r="AF20" i="1" l="1"/>
  <c r="AF44" i="1"/>
  <c r="AF21" i="1"/>
  <c r="AF28" i="1"/>
  <c r="AF37" i="1"/>
  <c r="AF41" i="1"/>
  <c r="AF42" i="1"/>
  <c r="AF30" i="1"/>
  <c r="Z4" i="1" s="1"/>
  <c r="E27" i="1" s="1"/>
  <c r="Z7" i="1"/>
  <c r="Z2" i="1"/>
  <c r="Z8" i="1"/>
  <c r="D27" i="1" s="1"/>
  <c r="C27" i="1" l="1"/>
</calcChain>
</file>

<file path=xl/sharedStrings.xml><?xml version="1.0" encoding="utf-8"?>
<sst xmlns="http://schemas.openxmlformats.org/spreadsheetml/2006/main" count="150" uniqueCount="95">
  <si>
    <t>AS160</t>
    <phoneticPr fontId="3"/>
  </si>
  <si>
    <t>見掛比重</t>
    <rPh sb="0" eb="4">
      <t>ミカケヒジュウ</t>
    </rPh>
    <phoneticPr fontId="2"/>
  </si>
  <si>
    <t>満載時</t>
    <rPh sb="0" eb="2">
      <t>マンサイ</t>
    </rPh>
    <rPh sb="2" eb="3">
      <t>ジ</t>
    </rPh>
    <phoneticPr fontId="3"/>
  </si>
  <si>
    <t>60%積載</t>
    <rPh sb="3" eb="5">
      <t>セキサイ</t>
    </rPh>
    <phoneticPr fontId="3"/>
  </si>
  <si>
    <t>チェン速度</t>
    <rPh sb="3" eb="5">
      <t>ソクド</t>
    </rPh>
    <phoneticPr fontId="3"/>
  </si>
  <si>
    <t>積載割合</t>
    <rPh sb="0" eb="2">
      <t>セキサイ</t>
    </rPh>
    <rPh sb="2" eb="4">
      <t>ワリアイ</t>
    </rPh>
    <phoneticPr fontId="3"/>
  </si>
  <si>
    <t>積載割合</t>
    <rPh sb="0" eb="4">
      <t>セキサイワリアイ</t>
    </rPh>
    <phoneticPr fontId="3"/>
  </si>
  <si>
    <t>AS250</t>
    <phoneticPr fontId="3"/>
  </si>
  <si>
    <t>AS330</t>
    <phoneticPr fontId="3"/>
  </si>
  <si>
    <t>AM250</t>
    <phoneticPr fontId="3"/>
  </si>
  <si>
    <t>AM400</t>
    <phoneticPr fontId="3"/>
  </si>
  <si>
    <t>AM530</t>
    <phoneticPr fontId="3"/>
  </si>
  <si>
    <t>AM650</t>
    <phoneticPr fontId="2"/>
  </si>
  <si>
    <t>AM800</t>
    <phoneticPr fontId="2"/>
  </si>
  <si>
    <t>ＡＬ500</t>
    <phoneticPr fontId="2"/>
  </si>
  <si>
    <t>ＡＬ650</t>
    <phoneticPr fontId="2"/>
  </si>
  <si>
    <t>ＡＬ800</t>
    <phoneticPr fontId="2"/>
  </si>
  <si>
    <t>搬送物品名</t>
    <rPh sb="0" eb="3">
      <t>ハンソウブツ</t>
    </rPh>
    <rPh sb="3" eb="5">
      <t>ヒンメイ</t>
    </rPh>
    <phoneticPr fontId="2"/>
  </si>
  <si>
    <t>搬送能力（ｔ/ｈ）</t>
    <rPh sb="0" eb="4">
      <t>ハンソウノウリョク</t>
    </rPh>
    <phoneticPr fontId="2"/>
  </si>
  <si>
    <t>搬送能力（㎥/ｈ）</t>
    <rPh sb="0" eb="4">
      <t>ハンソウノウリョク</t>
    </rPh>
    <phoneticPr fontId="2"/>
  </si>
  <si>
    <t>搬送速度（ｍ/min)</t>
    <rPh sb="0" eb="2">
      <t>ハンソウ</t>
    </rPh>
    <rPh sb="2" eb="4">
      <t>ソクド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</si>
  <si>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</si>
  <si>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</si>
  <si>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チェン重量</t>
    <rPh sb="3" eb="5">
      <t>ジュウリョウ</t>
    </rPh>
    <phoneticPr fontId="2"/>
  </si>
  <si>
    <t>2050（S)</t>
    <phoneticPr fontId="2"/>
  </si>
  <si>
    <t>2050（R)</t>
    <phoneticPr fontId="2"/>
  </si>
  <si>
    <t>2060（S)</t>
    <phoneticPr fontId="2"/>
  </si>
  <si>
    <t>2060（R)</t>
    <phoneticPr fontId="2"/>
  </si>
  <si>
    <t>２０８０（Ｒ）　　</t>
    <phoneticPr fontId="2"/>
  </si>
  <si>
    <t>バケット重量</t>
    <rPh sb="4" eb="6">
      <t>ジュウリョウ</t>
    </rPh>
    <phoneticPr fontId="2"/>
  </si>
  <si>
    <t>PP</t>
    <phoneticPr fontId="2"/>
  </si>
  <si>
    <t>SS/SUS</t>
    <phoneticPr fontId="2"/>
  </si>
  <si>
    <t>AS160</t>
    <phoneticPr fontId="2"/>
  </si>
  <si>
    <t>AS250</t>
    <phoneticPr fontId="2"/>
  </si>
  <si>
    <t>AS330</t>
    <phoneticPr fontId="2"/>
  </si>
  <si>
    <t>AM250</t>
    <phoneticPr fontId="2"/>
  </si>
  <si>
    <t>AM400</t>
    <phoneticPr fontId="2"/>
  </si>
  <si>
    <t>AM530</t>
    <phoneticPr fontId="2"/>
  </si>
  <si>
    <t>AL500</t>
    <phoneticPr fontId="2"/>
  </si>
  <si>
    <t>AL650</t>
    <phoneticPr fontId="2"/>
  </si>
  <si>
    <t>AL800</t>
    <phoneticPr fontId="2"/>
  </si>
  <si>
    <t>速度</t>
    <rPh sb="0" eb="2">
      <t>ソクド</t>
    </rPh>
    <phoneticPr fontId="2"/>
  </si>
  <si>
    <t>摩耗</t>
    <rPh sb="0" eb="2">
      <t>マモウ</t>
    </rPh>
    <phoneticPr fontId="2"/>
  </si>
  <si>
    <t>型式</t>
    <rPh sb="0" eb="2">
      <t>カタシキ</t>
    </rPh>
    <phoneticPr fontId="2"/>
  </si>
  <si>
    <t>積載率</t>
    <rPh sb="0" eb="3">
      <t>セキサイリツ</t>
    </rPh>
    <phoneticPr fontId="2"/>
  </si>
  <si>
    <t>Lo</t>
    <phoneticPr fontId="3"/>
  </si>
  <si>
    <t>ｑ</t>
    <phoneticPr fontId="3"/>
  </si>
  <si>
    <t>AS</t>
    <phoneticPr fontId="2"/>
  </si>
  <si>
    <t>AM</t>
    <phoneticPr fontId="2"/>
  </si>
  <si>
    <t>AL</t>
    <phoneticPr fontId="2"/>
  </si>
  <si>
    <t>無</t>
    <rPh sb="0" eb="1">
      <t>ナシ</t>
    </rPh>
    <phoneticPr fontId="2"/>
  </si>
  <si>
    <t>T1</t>
    <phoneticPr fontId="2"/>
  </si>
  <si>
    <t>T2</t>
    <phoneticPr fontId="2"/>
  </si>
  <si>
    <t>Tt</t>
    <phoneticPr fontId="2"/>
  </si>
  <si>
    <t>L3</t>
    <phoneticPr fontId="2"/>
  </si>
  <si>
    <t>H</t>
    <phoneticPr fontId="2"/>
  </si>
  <si>
    <t>A</t>
    <phoneticPr fontId="2"/>
  </si>
  <si>
    <t>B</t>
    <phoneticPr fontId="2"/>
  </si>
  <si>
    <t>T</t>
    <phoneticPr fontId="2"/>
  </si>
  <si>
    <t>L2</t>
    <phoneticPr fontId="2"/>
  </si>
  <si>
    <t>チェン仕様</t>
    <rPh sb="3" eb="5">
      <t>シヨウ</t>
    </rPh>
    <phoneticPr fontId="2"/>
  </si>
  <si>
    <t>バケット材質</t>
    <rPh sb="4" eb="6">
      <t>ザイシツ</t>
    </rPh>
    <phoneticPr fontId="2"/>
  </si>
  <si>
    <t>( R )</t>
    <phoneticPr fontId="2"/>
  </si>
  <si>
    <t>( S )</t>
    <phoneticPr fontId="2"/>
  </si>
  <si>
    <t>※</t>
    <phoneticPr fontId="2"/>
  </si>
  <si>
    <t>AS</t>
    <phoneticPr fontId="2"/>
  </si>
  <si>
    <t>AM</t>
    <phoneticPr fontId="2"/>
  </si>
  <si>
    <t>AL</t>
    <phoneticPr fontId="2"/>
  </si>
  <si>
    <t>赤文字表記＝SUSチェーン張力オーバー</t>
    <rPh sb="0" eb="3">
      <t>アカモジ</t>
    </rPh>
    <rPh sb="3" eb="5">
      <t>ヒョウキ</t>
    </rPh>
    <rPh sb="13" eb="15">
      <t>チョウリョク</t>
    </rPh>
    <phoneticPr fontId="2"/>
  </si>
  <si>
    <t>チェン張力</t>
    <rPh sb="3" eb="5">
      <t>チョウリョク</t>
    </rPh>
    <phoneticPr fontId="2"/>
  </si>
  <si>
    <t>黄枠内に入力またはプルダウンで選択下さい。</t>
    <rPh sb="0" eb="1">
      <t>キ</t>
    </rPh>
    <rPh sb="1" eb="2">
      <t>ワク</t>
    </rPh>
    <rPh sb="2" eb="3">
      <t>ナイ</t>
    </rPh>
    <rPh sb="4" eb="6">
      <t>ニュウリョク</t>
    </rPh>
    <rPh sb="15" eb="17">
      <t>センタク</t>
    </rPh>
    <rPh sb="17" eb="18">
      <t>クダ</t>
    </rPh>
    <phoneticPr fontId="2"/>
  </si>
  <si>
    <t>豆</t>
    <rPh sb="0" eb="1">
      <t>マメ</t>
    </rPh>
    <phoneticPr fontId="2"/>
  </si>
  <si>
    <t>摩耗性/品温100℃以上</t>
    <rPh sb="0" eb="3">
      <t>マモウセイ</t>
    </rPh>
    <rPh sb="4" eb="6">
      <t>ヒンオン</t>
    </rPh>
    <rPh sb="10" eb="12">
      <t>イジョウ</t>
    </rPh>
    <phoneticPr fontId="2"/>
  </si>
  <si>
    <t>※SS、SUSバケットの場合は、”有”を選択</t>
    <rPh sb="12" eb="14">
      <t>バアイ</t>
    </rPh>
    <rPh sb="17" eb="18">
      <t>アリ</t>
    </rPh>
    <rPh sb="20" eb="22">
      <t>センタク</t>
    </rPh>
    <phoneticPr fontId="2"/>
  </si>
  <si>
    <t>AM250</t>
  </si>
  <si>
    <t>KW1</t>
    <phoneticPr fontId="2"/>
  </si>
  <si>
    <t>KW2</t>
  </si>
  <si>
    <t>KW3</t>
  </si>
  <si>
    <t>Kwo</t>
    <phoneticPr fontId="2"/>
  </si>
  <si>
    <t>L</t>
    <phoneticPr fontId="2"/>
  </si>
  <si>
    <t>KW1</t>
    <phoneticPr fontId="2"/>
  </si>
  <si>
    <t>PP</t>
    <phoneticPr fontId="2"/>
  </si>
  <si>
    <t>SS/SUS</t>
    <phoneticPr fontId="2"/>
  </si>
  <si>
    <t>モーター容量</t>
    <rPh sb="4" eb="6">
      <t>ヨウリョウ</t>
    </rPh>
    <phoneticPr fontId="2"/>
  </si>
  <si>
    <t>PPバケット</t>
    <phoneticPr fontId="2"/>
  </si>
  <si>
    <t>SS/SUSバケット</t>
    <phoneticPr fontId="2"/>
  </si>
  <si>
    <t>※PPバケットの場合は、”無”を選択</t>
    <rPh sb="8" eb="10">
      <t>バアイ</t>
    </rPh>
    <rPh sb="13" eb="14">
      <t>ナ</t>
    </rPh>
    <rPh sb="16" eb="18">
      <t>センタク</t>
    </rPh>
    <phoneticPr fontId="2"/>
  </si>
  <si>
    <t>SS</t>
    <phoneticPr fontId="3"/>
  </si>
  <si>
    <t>SUS</t>
    <phoneticPr fontId="3"/>
  </si>
  <si>
    <t>AS用</t>
    <rPh sb="2" eb="3">
      <t>ヨウ</t>
    </rPh>
    <phoneticPr fontId="3"/>
  </si>
  <si>
    <t>AM用</t>
    <rPh sb="2" eb="3">
      <t>ヨウ</t>
    </rPh>
    <phoneticPr fontId="3"/>
  </si>
  <si>
    <t>AL用</t>
    <rPh sb="2" eb="3">
      <t>ヨウ</t>
    </rPh>
    <phoneticPr fontId="3"/>
  </si>
  <si>
    <t>SUS(AS)</t>
    <phoneticPr fontId="3"/>
  </si>
  <si>
    <t>SUS(HS)</t>
    <phoneticPr fontId="2"/>
  </si>
  <si>
    <t>チェン最大許容張力(Kgf)</t>
    <rPh sb="3" eb="5">
      <t>サイダイ</t>
    </rPh>
    <rPh sb="5" eb="7">
      <t>キョヨウ</t>
    </rPh>
    <rPh sb="7" eb="9">
      <t>チョウリョク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</si>
</sst>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Protection="1">
      <alignment vertical="center"/>
      <protection locked="0" hidden="1"/>
    </xf>
    <xf numFmtId="0" fontId="0" fillId="4" borderId="0" xfId="0" applyFill="1" applyProtection="1">
      <alignment vertical="center"/>
      <protection locked="0" hidden="1"/>
    </xf>
    <xf numFmtId="0" fontId="0" fillId="0" borderId="0" xfId="0" applyAlignment="1" applyProtection="1">
      <alignment vertical="top"/>
      <protection locked="0" hidden="1"/>
    </xf>
    <xf numFmtId="0" fontId="0" fillId="0" borderId="27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4" borderId="1" xfId="0" applyFill="1" applyBorder="1" applyAlignment="1" applyProtection="1">
      <protection locked="0" hidden="1"/>
    </xf>
    <xf numFmtId="0" fontId="0" fillId="0" borderId="29" xfId="0" applyBorder="1" applyAlignment="1" applyProtection="1">
      <protection locked="0" hidden="1"/>
    </xf>
    <xf numFmtId="0" fontId="0" fillId="0" borderId="30" xfId="0" applyBorder="1" applyAlignment="1" applyProtection="1">
      <protection locked="0" hidden="1"/>
    </xf>
    <xf numFmtId="0" fontId="0" fillId="3" borderId="2" xfId="0" applyFill="1" applyBorder="1" applyAlignment="1" applyProtection="1">
      <protection locked="0" hidden="1"/>
    </xf>
    <xf numFmtId="0" fontId="0" fillId="3" borderId="3" xfId="0" applyFill="1" applyBorder="1" applyAlignment="1" applyProtection="1">
      <protection locked="0" hidden="1"/>
    </xf>
    <xf numFmtId="0" fontId="0" fillId="3" borderId="4" xfId="0" applyFill="1" applyBorder="1" applyAlignment="1" applyProtection="1">
      <protection locked="0" hidden="1"/>
    </xf>
    <xf numFmtId="0" fontId="0" fillId="3" borderId="5" xfId="0" applyFill="1" applyBorder="1" applyAlignment="1" applyProtection="1">
      <protection locked="0" hidden="1"/>
    </xf>
    <xf numFmtId="0" fontId="0" fillId="3" borderId="6" xfId="0" applyFill="1" applyBorder="1" applyAlignment="1" applyProtection="1">
      <protection locked="0" hidden="1"/>
    </xf>
    <xf numFmtId="0" fontId="0" fillId="3" borderId="7" xfId="0" applyFill="1" applyBorder="1" applyAlignment="1" applyProtection="1">
      <protection locked="0" hidden="1"/>
    </xf>
    <xf numFmtId="0" fontId="4" fillId="0" borderId="31" xfId="0" applyFont="1" applyBorder="1" applyAlignment="1" applyProtection="1">
      <protection locked="0" hidden="1"/>
    </xf>
    <xf numFmtId="0" fontId="4" fillId="0" borderId="32" xfId="0" applyFont="1" applyBorder="1" applyAlignment="1" applyProtection="1">
      <protection locked="0" hidden="1"/>
    </xf>
    <xf numFmtId="0" fontId="4" fillId="0" borderId="0" xfId="0" applyFont="1" applyAlignment="1" applyProtection="1">
      <protection locked="0" hidden="1"/>
    </xf>
    <xf numFmtId="0" fontId="0" fillId="2" borderId="8" xfId="0" applyFill="1" applyBorder="1" applyAlignment="1" applyProtection="1">
      <protection locked="0" hidden="1"/>
    </xf>
    <xf numFmtId="0" fontId="0" fillId="2" borderId="9" xfId="0" applyFill="1" applyBorder="1" applyAlignment="1" applyProtection="1">
      <protection locked="0" hidden="1"/>
    </xf>
    <xf numFmtId="0" fontId="0" fillId="3" borderId="10" xfId="0" applyFill="1" applyBorder="1" applyAlignment="1" applyProtection="1"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3" borderId="11" xfId="0" applyFill="1" applyBorder="1" applyAlignment="1" applyProtection="1">
      <protection locked="0" hidden="1"/>
    </xf>
    <xf numFmtId="0" fontId="5" fillId="0" borderId="27" xfId="0" applyFont="1" applyBorder="1" applyAlignment="1" applyProtection="1">
      <protection locked="0" hidden="1"/>
    </xf>
    <xf numFmtId="0" fontId="5" fillId="0" borderId="41" xfId="0" applyFont="1" applyBorder="1" applyAlignment="1" applyProtection="1">
      <protection locked="0" hidden="1"/>
    </xf>
    <xf numFmtId="0" fontId="5" fillId="0" borderId="28" xfId="0" applyFont="1" applyBorder="1" applyAlignment="1" applyProtection="1">
      <protection locked="0" hidden="1"/>
    </xf>
    <xf numFmtId="0" fontId="5" fillId="0" borderId="0" xfId="0" applyFont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5" fillId="0" borderId="29" xfId="0" applyFont="1" applyBorder="1" applyAlignment="1" applyProtection="1">
      <protection locked="0" hidden="1"/>
    </xf>
    <xf numFmtId="0" fontId="5" fillId="0" borderId="20" xfId="0" applyFont="1" applyBorder="1" applyAlignment="1" applyProtection="1">
      <protection locked="0" hidden="1"/>
    </xf>
    <xf numFmtId="0" fontId="5" fillId="0" borderId="30" xfId="0" applyFont="1" applyBorder="1" applyAlignment="1" applyProtection="1">
      <protection locked="0" hidden="1"/>
    </xf>
    <xf numFmtId="0" fontId="0" fillId="0" borderId="27" xfId="0" applyBorder="1" applyProtection="1">
      <alignment vertical="center"/>
      <protection locked="0" hidden="1"/>
    </xf>
    <xf numFmtId="0" fontId="0" fillId="0" borderId="41" xfId="0" applyBorder="1" applyProtection="1">
      <alignment vertical="center"/>
      <protection locked="0" hidden="1"/>
    </xf>
    <xf numFmtId="0" fontId="0" fillId="0" borderId="28" xfId="0" applyBorder="1" applyProtection="1">
      <alignment vertical="center"/>
      <protection locked="0" hidden="1"/>
    </xf>
    <xf numFmtId="0" fontId="0" fillId="3" borderId="13" xfId="0" applyFill="1" applyBorder="1" applyAlignment="1" applyProtection="1">
      <protection locked="0" hidden="1"/>
    </xf>
    <xf numFmtId="0" fontId="0" fillId="0" borderId="29" xfId="0" applyBorder="1" applyProtection="1">
      <alignment vertical="center"/>
      <protection locked="0" hidden="1"/>
    </xf>
    <xf numFmtId="0" fontId="0" fillId="0" borderId="20" xfId="0" applyBorder="1" applyProtection="1">
      <alignment vertical="center"/>
      <protection locked="0" hidden="1"/>
    </xf>
    <xf numFmtId="0" fontId="0" fillId="0" borderId="30" xfId="0" applyBorder="1" applyProtection="1">
      <alignment vertical="center"/>
      <protection locked="0" hidden="1"/>
    </xf>
    <xf numFmtId="0" fontId="0" fillId="3" borderId="14" xfId="0" applyFill="1" applyBorder="1" applyAlignment="1" applyProtection="1">
      <protection locked="0" hidden="1"/>
    </xf>
    <xf numFmtId="0" fontId="0" fillId="0" borderId="3" xfId="0" applyBorder="1" applyAlignment="1" applyProtection="1">
      <protection locked="0" hidden="1"/>
    </xf>
    <xf numFmtId="0" fontId="0" fillId="0" borderId="15" xfId="0" applyBorder="1" applyProtection="1">
      <alignment vertical="center"/>
      <protection locked="0" hidden="1"/>
    </xf>
    <xf numFmtId="0" fontId="0" fillId="4" borderId="18" xfId="0" applyFill="1" applyBorder="1" applyAlignment="1" applyProtection="1">
      <alignment horizontal="right" vertical="center"/>
      <protection locked="0" hidden="1"/>
    </xf>
    <xf numFmtId="0" fontId="0" fillId="0" borderId="16" xfId="0" applyBorder="1" applyProtection="1">
      <alignment vertical="center"/>
      <protection locked="0" hidden="1"/>
    </xf>
    <xf numFmtId="0" fontId="0" fillId="4" borderId="21" xfId="0" applyFill="1" applyBorder="1" applyProtection="1">
      <alignment vertical="center"/>
      <protection locked="0" hidden="1"/>
    </xf>
    <xf numFmtId="0" fontId="0" fillId="0" borderId="31" xfId="0" applyBorder="1" applyAlignment="1" applyProtection="1">
      <protection locked="0" hidden="1"/>
    </xf>
    <xf numFmtId="0" fontId="0" fillId="0" borderId="21" xfId="0" applyBorder="1" applyProtection="1">
      <alignment vertical="center"/>
      <protection locked="0" hidden="1"/>
    </xf>
    <xf numFmtId="0" fontId="5" fillId="0" borderId="31" xfId="0" applyFont="1" applyBorder="1" applyAlignment="1" applyProtection="1">
      <protection locked="0" hidden="1"/>
    </xf>
    <xf numFmtId="0" fontId="5" fillId="0" borderId="42" xfId="0" applyFont="1" applyBorder="1" applyAlignment="1" applyProtection="1">
      <protection locked="0" hidden="1"/>
    </xf>
    <xf numFmtId="0" fontId="5" fillId="0" borderId="32" xfId="0" applyFont="1" applyBorder="1" applyAlignment="1" applyProtection="1">
      <protection locked="0" hidden="1"/>
    </xf>
    <xf numFmtId="0" fontId="0" fillId="0" borderId="33" xfId="0" applyBorder="1" applyProtection="1">
      <alignment vertical="center"/>
      <protection locked="0" hidden="1"/>
    </xf>
    <xf numFmtId="0" fontId="0" fillId="0" borderId="34" xfId="0" applyBorder="1" applyProtection="1">
      <alignment vertical="center"/>
      <protection locked="0" hidden="1"/>
    </xf>
    <xf numFmtId="0" fontId="0" fillId="0" borderId="35" xfId="0" applyBorder="1" applyProtection="1">
      <alignment vertical="center"/>
      <protection locked="0" hidden="1"/>
    </xf>
    <xf numFmtId="0" fontId="0" fillId="0" borderId="0" xfId="0" applyFont="1" applyProtection="1">
      <alignment vertical="center"/>
      <protection locked="0" hidden="1"/>
    </xf>
    <xf numFmtId="0" fontId="0" fillId="0" borderId="36" xfId="0" applyBorder="1" applyAlignment="1" applyProtection="1">
      <protection locked="0" hidden="1"/>
    </xf>
    <xf numFmtId="0" fontId="0" fillId="0" borderId="37" xfId="0" applyBorder="1" applyProtection="1">
      <alignment vertical="center"/>
      <protection locked="0" hidden="1"/>
    </xf>
    <xf numFmtId="0" fontId="0" fillId="0" borderId="25" xfId="0" applyBorder="1" applyProtection="1">
      <alignment vertical="center"/>
      <protection locked="0" hidden="1"/>
    </xf>
    <xf numFmtId="0" fontId="0" fillId="4" borderId="43" xfId="0" applyFill="1" applyBorder="1" applyAlignment="1" applyProtection="1">
      <alignment horizontal="right" vertical="center"/>
      <protection locked="0" hidden="1"/>
    </xf>
    <xf numFmtId="0" fontId="0" fillId="0" borderId="15" xfId="0" applyBorder="1" applyAlignment="1" applyProtection="1">
      <protection locked="0" hidden="1"/>
    </xf>
    <xf numFmtId="0" fontId="0" fillId="0" borderId="17" xfId="0" applyBorder="1" applyAlignment="1" applyProtection="1">
      <protection locked="0" hidden="1"/>
    </xf>
    <xf numFmtId="9" fontId="0" fillId="0" borderId="17" xfId="0" applyNumberFormat="1" applyBorder="1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0" fillId="0" borderId="19" xfId="0" applyBorder="1" applyAlignme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16" xfId="0" applyBorder="1" applyAlignment="1" applyProtection="1">
      <protection locked="0" hidden="1"/>
    </xf>
    <xf numFmtId="0" fontId="0" fillId="0" borderId="20" xfId="0" applyBorder="1" applyAlignment="1" applyProtection="1">
      <protection locked="0" hidden="1"/>
    </xf>
    <xf numFmtId="9" fontId="0" fillId="0" borderId="20" xfId="0" applyNumberFormat="1" applyBorder="1" applyAlignment="1" applyProtection="1">
      <protection locked="0" hidden="1"/>
    </xf>
    <xf numFmtId="9" fontId="0" fillId="0" borderId="21" xfId="0" applyNumberFormat="1" applyBorder="1" applyAlignment="1" applyProtection="1">
      <protection locked="0" hidden="1"/>
    </xf>
    <xf numFmtId="0" fontId="0" fillId="0" borderId="22" xfId="0" applyBorder="1" applyAlignment="1" applyProtection="1">
      <protection locked="0" hidden="1"/>
    </xf>
    <xf numFmtId="0" fontId="0" fillId="0" borderId="20" xfId="0" applyBorder="1" applyAlignment="1" applyProtection="1">
      <alignment vertical="center"/>
      <protection locked="0" hidden="1"/>
    </xf>
    <xf numFmtId="0" fontId="0" fillId="0" borderId="21" xfId="0" applyBorder="1" applyAlignment="1" applyProtection="1">
      <alignment vertical="center"/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4" xfId="0" applyBorder="1" applyAlignment="1" applyProtection="1">
      <protection locked="0" hidden="1"/>
    </xf>
    <xf numFmtId="0" fontId="0" fillId="0" borderId="38" xfId="0" applyBorder="1" applyAlignment="1" applyProtection="1">
      <protection locked="0" hidden="1"/>
    </xf>
    <xf numFmtId="0" fontId="0" fillId="0" borderId="39" xfId="0" applyBorder="1" applyProtection="1">
      <alignment vertical="center"/>
      <protection locked="0" hidden="1"/>
    </xf>
    <xf numFmtId="0" fontId="0" fillId="0" borderId="40" xfId="0" applyBorder="1" applyProtection="1">
      <alignment vertical="center"/>
      <protection locked="0" hidden="1"/>
    </xf>
    <xf numFmtId="0" fontId="0" fillId="0" borderId="25" xfId="0" applyBorder="1" applyAlignment="1" applyProtection="1">
      <protection locked="0" hidden="1"/>
    </xf>
    <xf numFmtId="0" fontId="0" fillId="0" borderId="26" xfId="0" applyBorder="1" applyAlignment="1" applyProtection="1">
      <protection locked="0" hidden="1"/>
    </xf>
    <xf numFmtId="9" fontId="0" fillId="0" borderId="26" xfId="0" applyNumberFormat="1" applyBorder="1" applyAlignment="1" applyProtection="1">
      <protection locked="0" hidden="1"/>
    </xf>
    <xf numFmtId="0" fontId="5" fillId="0" borderId="26" xfId="0" applyFont="1" applyBorder="1" applyAlignment="1" applyProtection="1">
      <protection locked="0" hidden="1"/>
    </xf>
    <xf numFmtId="0" fontId="5" fillId="0" borderId="44" xfId="0" applyFont="1" applyBorder="1" applyAlignment="1" applyProtection="1"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6" fillId="4" borderId="17" xfId="0" applyFont="1" applyFill="1" applyBorder="1" applyAlignment="1" applyProtection="1">
      <alignment horizontal="center" vertical="center"/>
      <protection locked="0" hidden="1"/>
    </xf>
    <xf numFmtId="0" fontId="6" fillId="4" borderId="18" xfId="0" applyFont="1" applyFill="1" applyBorder="1" applyAlignment="1" applyProtection="1">
      <alignment horizontal="center" vertical="center"/>
      <protection locked="0" hidden="1"/>
    </xf>
    <xf numFmtId="0" fontId="6" fillId="4" borderId="20" xfId="0" applyFont="1" applyFill="1" applyBorder="1" applyAlignment="1" applyProtection="1">
      <alignment horizontal="center" vertical="center"/>
      <protection locked="0" hidden="1"/>
    </xf>
    <xf numFmtId="0" fontId="6" fillId="4" borderId="21" xfId="0" applyFont="1" applyFill="1" applyBorder="1" applyAlignment="1" applyProtection="1">
      <alignment horizontal="center" vertical="center"/>
      <protection locked="0" hidden="1"/>
    </xf>
    <xf numFmtId="9" fontId="7" fillId="0" borderId="20" xfId="1" applyFont="1" applyBorder="1" applyAlignment="1" applyProtection="1">
      <alignment horizontal="center" vertical="center"/>
      <protection locked="0" hidden="1"/>
    </xf>
    <xf numFmtId="9" fontId="7" fillId="0" borderId="21" xfId="1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0" fontId="0" fillId="0" borderId="25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left" vertical="center"/>
      <protection locked="0" hidden="1"/>
    </xf>
    <xf numFmtId="0" fontId="0" fillId="0" borderId="21" xfId="0" applyBorder="1" applyAlignment="1" applyProtection="1">
      <alignment horizontal="left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Border="1" applyAlignment="1"/>
    <xf numFmtId="0" fontId="0" fillId="0" borderId="20" xfId="0" applyBorder="1" applyAlignment="1"/>
    <xf numFmtId="0" fontId="0" fillId="0" borderId="37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36" xfId="0" applyFill="1" applyBorder="1">
      <alignment vertical="center"/>
    </xf>
    <xf numFmtId="0" fontId="0" fillId="0" borderId="20" xfId="0" applyFill="1" applyBorder="1">
      <alignment vertical="center"/>
    </xf>
  </cellXfs>
  <cellStyles count="2">
    <cellStyle name="パーセント" xfId="1" builtinId="5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75009</xdr:rowOff>
    </xdr:from>
    <xdr:to>
      <xdr:col>3</xdr:col>
      <xdr:colOff>0</xdr:colOff>
      <xdr:row>13</xdr:row>
      <xdr:rowOff>75009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F45FA82-70DF-4089-8D2F-DCC18DEDC68B}"/>
            </a:ext>
          </a:extLst>
        </xdr:cNvPr>
        <xdr:cNvCxnSpPr/>
      </xdr:nvCxnSpPr>
      <xdr:spPr>
        <a:xfrm>
          <a:off x="1600200" y="2322909"/>
          <a:ext cx="21145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920750</xdr:colOff>
      <xdr:row>2</xdr:row>
      <xdr:rowOff>86591</xdr:rowOff>
    </xdr:from>
    <xdr:to>
      <xdr:col>5</xdr:col>
      <xdr:colOff>17318</xdr:colOff>
      <xdr:row>2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2C88468-E125-4F78-B282-2C4F68952CD4}"/>
            </a:ext>
          </a:extLst>
        </xdr:cNvPr>
        <xdr:cNvCxnSpPr/>
      </xdr:nvCxnSpPr>
      <xdr:spPr>
        <a:xfrm flipV="1">
          <a:off x="3025775" y="448541"/>
          <a:ext cx="2039793" cy="865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511752</xdr:colOff>
      <xdr:row>7</xdr:row>
      <xdr:rowOff>74083</xdr:rowOff>
    </xdr:from>
    <xdr:to>
      <xdr:col>3</xdr:col>
      <xdr:colOff>31930</xdr:colOff>
      <xdr:row>7</xdr:row>
      <xdr:rowOff>75274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6C6FA14-22EA-411B-9F13-E58D38DB47C0}"/>
            </a:ext>
          </a:extLst>
        </xdr:cNvPr>
        <xdr:cNvCxnSpPr/>
      </xdr:nvCxnSpPr>
      <xdr:spPr>
        <a:xfrm>
          <a:off x="511752" y="1826683"/>
          <a:ext cx="1425178" cy="119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8663</xdr:colOff>
      <xdr:row>7</xdr:row>
      <xdr:rowOff>77931</xdr:rowOff>
    </xdr:from>
    <xdr:to>
      <xdr:col>0</xdr:col>
      <xdr:colOff>528204</xdr:colOff>
      <xdr:row>7</xdr:row>
      <xdr:rowOff>77931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7D32A09-5BB8-412A-8FE5-C2ADFD9C4339}"/>
            </a:ext>
          </a:extLst>
        </xdr:cNvPr>
        <xdr:cNvCxnSpPr/>
      </xdr:nvCxnSpPr>
      <xdr:spPr>
        <a:xfrm>
          <a:off x="1599338" y="1297131"/>
          <a:ext cx="5100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4</xdr:row>
      <xdr:rowOff>19050</xdr:rowOff>
    </xdr:from>
    <xdr:to>
      <xdr:col>5</xdr:col>
      <xdr:colOff>238125</xdr:colOff>
      <xdr:row>11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ABE007D-ED4B-41B0-A764-08CD521504CC}"/>
            </a:ext>
          </a:extLst>
        </xdr:cNvPr>
        <xdr:cNvCxnSpPr/>
      </xdr:nvCxnSpPr>
      <xdr:spPr>
        <a:xfrm flipV="1">
          <a:off x="5286375" y="723900"/>
          <a:ext cx="0" cy="11906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F636-BF69-4F8C-8CC5-8FE90D06A541}">
  <dimension ref="A1:AR44"/>
  <sheetViews>
    <sheetView tabSelected="1" zoomScale="75" zoomScaleNormal="75" workbookViewId="0">
      <selection activeCell="G30" sqref="G30:J30"/>
    </sheetView>
  </sheetViews>
  <sheetFormatPr defaultRowHeight="18.75" x14ac:dyDescent="0.4"/>
  <cols>
    <col min="1" max="1" width="8.625" style="1" customWidth="1"/>
    <col min="2" max="2" width="11.5" style="1" customWidth="1"/>
    <col min="3" max="5" width="11" style="1" customWidth="1"/>
    <col min="6" max="6" width="6.25" style="1" customWidth="1"/>
    <col min="7" max="7" width="11" style="1" customWidth="1"/>
    <col min="8" max="11" width="8.875" style="1" customWidth="1"/>
    <col min="12" max="12" width="12.25" style="1" customWidth="1"/>
    <col min="13" max="13" width="12.25" style="1" hidden="1" customWidth="1"/>
    <col min="14" max="14" width="13" style="1" hidden="1" customWidth="1"/>
    <col min="15" max="15" width="12.25" style="1" hidden="1" customWidth="1"/>
    <col min="16" max="16" width="11.625" style="1" hidden="1" customWidth="1"/>
    <col min="17" max="17" width="8.625" style="1" hidden="1" customWidth="1"/>
    <col min="18" max="18" width="11.75" style="1" hidden="1" customWidth="1"/>
    <col min="19" max="19" width="9.125" style="1" hidden="1" customWidth="1"/>
    <col min="20" max="20" width="11.25" style="1" hidden="1" customWidth="1"/>
    <col min="21" max="22" width="9.25" style="1" hidden="1" customWidth="1"/>
    <col min="23" max="32" width="13.25" style="1" hidden="1" customWidth="1"/>
    <col min="33" max="37" width="9" style="1" hidden="1" customWidth="1"/>
    <col min="38" max="43" width="9" style="1" customWidth="1"/>
    <col min="44" max="44" width="11" style="1" customWidth="1"/>
    <col min="45" max="16384" width="9" style="1"/>
  </cols>
  <sheetData>
    <row r="1" spans="1:26" ht="31.5" customHeight="1" thickTop="1" thickBot="1" x14ac:dyDescent="0.45">
      <c r="B1" s="2"/>
      <c r="C1" s="3" t="s">
        <v>70</v>
      </c>
      <c r="R1" s="4" t="s">
        <v>23</v>
      </c>
      <c r="S1" s="5"/>
      <c r="T1" s="6"/>
      <c r="U1" s="1">
        <v>127</v>
      </c>
      <c r="W1" s="1" t="s">
        <v>21</v>
      </c>
    </row>
    <row r="2" spans="1:26" ht="20.25" thickTop="1" thickBot="1" x14ac:dyDescent="0.45">
      <c r="A2" s="6"/>
      <c r="B2" s="6"/>
      <c r="C2" s="6"/>
      <c r="D2" s="7">
        <v>3000</v>
      </c>
      <c r="E2" s="6"/>
      <c r="O2" s="1" t="s">
        <v>81</v>
      </c>
      <c r="P2" s="1" t="s">
        <v>82</v>
      </c>
      <c r="R2" s="8" t="s">
        <v>24</v>
      </c>
      <c r="S2" s="9">
        <v>1</v>
      </c>
      <c r="T2" s="6"/>
      <c r="U2" s="1">
        <v>228.6</v>
      </c>
      <c r="W2" s="1" t="s">
        <v>47</v>
      </c>
      <c r="X2" s="1">
        <v>2050</v>
      </c>
      <c r="Y2" s="1" t="s">
        <v>62</v>
      </c>
      <c r="Z2" s="1" t="b">
        <f>IF(C23="AS160",AF20,IF(C23="AS250",AF21,IF(C23="AS330",AF22)))</f>
        <v>0</v>
      </c>
    </row>
    <row r="3" spans="1:26" ht="19.5" thickTop="1" x14ac:dyDescent="0.4">
      <c r="A3" s="6"/>
      <c r="B3" s="6"/>
      <c r="C3" s="6"/>
      <c r="D3" s="6"/>
      <c r="E3" s="6"/>
      <c r="N3" s="1" t="s">
        <v>75</v>
      </c>
      <c r="O3" s="1">
        <f>IF(C23="AM250",O12,IF(C23="AM400",O13,IF(C23="AM530",O14,IF(C23="AS160",O9,IF(C23="AS250",O10,IF(C23="AS330",O11,IF(C23="ＡＬ800",O19,IF(C23="ＡＬ650",O18,IF(C23="ＡＬ500",O17,IF(C23="AM650",O15,IF(C23="AM800",O16)))))))))))</f>
        <v>6.5337112860892402E-2</v>
      </c>
      <c r="P3" s="1">
        <f>IF(C23="AM250",P12,IF(C23="AM400",P13,IF(C23="AM530",P14,IF(C23="AS160",P9,IF(C23="AS250",P10,IF(C23="AS330",P11,IF(C23="ＡＬ800",P19,IF(C23="ＡＬ650",P18,IF(C23="ＡＬ500",P17,IF(C23="AM650",P15,IF(C23="AM800",P16)))))))))))</f>
        <v>0.17884556430446197</v>
      </c>
      <c r="Q3" s="1" t="s">
        <v>42</v>
      </c>
      <c r="R3" s="8" t="s">
        <v>25</v>
      </c>
      <c r="S3" s="9">
        <v>2</v>
      </c>
      <c r="T3" s="6"/>
      <c r="U3" s="1">
        <v>304.8</v>
      </c>
      <c r="W3" s="1" t="s">
        <v>48</v>
      </c>
      <c r="X3" s="1">
        <v>2060</v>
      </c>
      <c r="Z3" s="1">
        <f>IF(C23="AM250",AF23,IF(C23="AM400",AF24,IF(C23="AM530",AF25,IF(C23="AM650",AF26,IF(C23="AM800",AF27)))))</f>
        <v>194.902073272091</v>
      </c>
    </row>
    <row r="4" spans="1:26" x14ac:dyDescent="0.4">
      <c r="A4" s="6"/>
      <c r="B4" s="6"/>
      <c r="C4" s="6"/>
      <c r="D4" s="6"/>
      <c r="E4" s="6"/>
      <c r="N4" s="1" t="s">
        <v>76</v>
      </c>
      <c r="O4" s="1">
        <f>D18*X11*0.33/360</f>
        <v>2.4750000000000001E-2</v>
      </c>
      <c r="Q4" s="1" t="s">
        <v>21</v>
      </c>
      <c r="R4" s="8" t="s">
        <v>26</v>
      </c>
      <c r="S4" s="9">
        <v>2</v>
      </c>
      <c r="T4" s="6"/>
      <c r="W4" s="1" t="s">
        <v>49</v>
      </c>
      <c r="X4" s="1">
        <v>2080</v>
      </c>
      <c r="Z4" s="1" t="b">
        <f>IF(C23="ＡＬ500",AF28,IF(C23="ＡＬ650",AF29,IF(C23="ＡＬ800",AF30)))</f>
        <v>0</v>
      </c>
    </row>
    <row r="5" spans="1:26" x14ac:dyDescent="0.4">
      <c r="A5" s="6"/>
      <c r="B5" s="6"/>
      <c r="C5" s="10"/>
      <c r="D5" s="11"/>
      <c r="E5" s="12"/>
      <c r="F5" s="6"/>
      <c r="G5" s="6"/>
      <c r="N5" s="1" t="s">
        <v>77</v>
      </c>
      <c r="O5" s="1">
        <f>D18*X17/360</f>
        <v>8.3333333333333329E-2</v>
      </c>
      <c r="Q5" s="1" t="s">
        <v>22</v>
      </c>
      <c r="R5" s="8" t="s">
        <v>27</v>
      </c>
      <c r="S5" s="9">
        <v>3</v>
      </c>
      <c r="T5" s="6"/>
    </row>
    <row r="6" spans="1:26" ht="19.5" thickBot="1" x14ac:dyDescent="0.45">
      <c r="A6" s="6"/>
      <c r="B6" s="6"/>
      <c r="C6" s="13"/>
      <c r="D6" s="14"/>
      <c r="E6" s="15"/>
      <c r="F6" s="6"/>
      <c r="G6" s="6"/>
      <c r="N6" s="1" t="s">
        <v>78</v>
      </c>
      <c r="O6" s="1">
        <f>(O3+O4+O5)*1.1</f>
        <v>0.19076249081364835</v>
      </c>
      <c r="P6" s="1">
        <f>(P3+O4+O5)*1.1</f>
        <v>0.31562178740157482</v>
      </c>
      <c r="Q6" s="1" t="s">
        <v>41</v>
      </c>
      <c r="R6" s="16" t="s">
        <v>28</v>
      </c>
      <c r="S6" s="17">
        <v>4.5</v>
      </c>
      <c r="T6" s="18"/>
      <c r="W6" s="1" t="s">
        <v>50</v>
      </c>
    </row>
    <row r="7" spans="1:26" ht="20.25" thickTop="1" thickBot="1" x14ac:dyDescent="0.45">
      <c r="A7" s="19">
        <v>1000</v>
      </c>
      <c r="B7" s="20">
        <f>B13-A7</f>
        <v>4000</v>
      </c>
      <c r="C7" s="21"/>
      <c r="D7" s="6"/>
      <c r="E7" s="6"/>
      <c r="F7" s="6"/>
      <c r="G7" s="6"/>
      <c r="O7" s="1">
        <f>O6/0.8*2</f>
        <v>0.47690622703412083</v>
      </c>
      <c r="P7" s="1">
        <f>P6/0.8*2</f>
        <v>0.78905446850393701</v>
      </c>
      <c r="Q7" s="22">
        <v>5</v>
      </c>
      <c r="R7" s="18"/>
      <c r="S7" s="18"/>
      <c r="T7" s="18"/>
      <c r="W7" s="1" t="s">
        <v>47</v>
      </c>
      <c r="X7" s="1">
        <v>2050</v>
      </c>
      <c r="Y7" s="1" t="s">
        <v>63</v>
      </c>
      <c r="Z7" s="1" t="b">
        <f>IF(C23="AS160",AF34,IF(C23="AS250",AF35,IF(C23="AS330",AF36)))</f>
        <v>0</v>
      </c>
    </row>
    <row r="8" spans="1:26" ht="20.25" thickTop="1" thickBot="1" x14ac:dyDescent="0.45">
      <c r="A8" s="6"/>
      <c r="B8" s="6"/>
      <c r="C8" s="23"/>
      <c r="D8" s="6"/>
      <c r="E8" s="6"/>
      <c r="F8" s="6"/>
      <c r="G8" s="7">
        <v>10000</v>
      </c>
      <c r="N8" s="24" t="s">
        <v>80</v>
      </c>
      <c r="O8" s="25" t="s">
        <v>30</v>
      </c>
      <c r="P8" s="26" t="s">
        <v>31</v>
      </c>
      <c r="Q8" s="22">
        <v>6</v>
      </c>
      <c r="R8" s="24" t="s">
        <v>29</v>
      </c>
      <c r="S8" s="25" t="s">
        <v>30</v>
      </c>
      <c r="T8" s="26" t="s">
        <v>31</v>
      </c>
      <c r="W8" s="27" t="s">
        <v>48</v>
      </c>
      <c r="X8" s="1">
        <v>2060</v>
      </c>
      <c r="Z8" s="1">
        <f>IF(C23="AM250",AF37,IF(C23="AM400",AF38,IF(C23="AM530",AF39,IF(C23="AM650",AF40,IF(C23="AM800",AF41)))))</f>
        <v>92.685347987751555</v>
      </c>
    </row>
    <row r="9" spans="1:26" ht="19.5" thickTop="1" x14ac:dyDescent="0.4">
      <c r="A9" s="28"/>
      <c r="B9" s="6"/>
      <c r="C9" s="23"/>
      <c r="D9" s="6"/>
      <c r="E9" s="6"/>
      <c r="F9" s="6"/>
      <c r="N9" s="29" t="s">
        <v>32</v>
      </c>
      <c r="O9" s="30">
        <f>AB34*$X$14*$D$20*0.33/3000</f>
        <v>3.3592440944881889E-2</v>
      </c>
      <c r="P9" s="31">
        <f>AB20*$X$14*$D$20*0.33/3000</f>
        <v>9.6287244094488203E-2</v>
      </c>
      <c r="Q9" s="22">
        <v>7</v>
      </c>
      <c r="R9" s="29" t="s">
        <v>32</v>
      </c>
      <c r="S9" s="30">
        <v>0.15</v>
      </c>
      <c r="T9" s="31">
        <v>0.65</v>
      </c>
      <c r="W9" s="32"/>
      <c r="X9" s="33"/>
      <c r="Y9" s="33"/>
      <c r="Z9" s="34"/>
    </row>
    <row r="10" spans="1:26" x14ac:dyDescent="0.4">
      <c r="A10" s="35"/>
      <c r="B10" s="11"/>
      <c r="C10" s="21"/>
      <c r="D10" s="6"/>
      <c r="E10" s="6"/>
      <c r="F10" s="6"/>
      <c r="G10" s="6"/>
      <c r="N10" s="29" t="s">
        <v>33</v>
      </c>
      <c r="O10" s="30">
        <f t="shared" ref="O10:O19" si="0">AB35*$X$14*$D$20*0.33/3000</f>
        <v>3.7749921259842521E-2</v>
      </c>
      <c r="P10" s="31">
        <f t="shared" ref="P10:P19" si="1">AB21*$X$14*$D$20*0.33/3000</f>
        <v>0.10875968503937009</v>
      </c>
      <c r="Q10" s="22">
        <v>8</v>
      </c>
      <c r="R10" s="29" t="s">
        <v>33</v>
      </c>
      <c r="S10" s="30">
        <v>0.2</v>
      </c>
      <c r="T10" s="31">
        <v>0.8</v>
      </c>
      <c r="W10" s="36"/>
      <c r="X10" s="37" t="s">
        <v>47</v>
      </c>
      <c r="Y10" s="37" t="s">
        <v>48</v>
      </c>
      <c r="Z10" s="38" t="s">
        <v>49</v>
      </c>
    </row>
    <row r="11" spans="1:26" x14ac:dyDescent="0.4">
      <c r="A11" s="39"/>
      <c r="B11" s="14"/>
      <c r="C11" s="15"/>
      <c r="D11" s="6"/>
      <c r="E11" s="6"/>
      <c r="F11" s="6"/>
      <c r="G11" s="6"/>
      <c r="N11" s="29" t="s">
        <v>34</v>
      </c>
      <c r="O11" s="30">
        <f t="shared" si="0"/>
        <v>4.1907401574803167E-2</v>
      </c>
      <c r="P11" s="31">
        <f t="shared" si="1"/>
        <v>0.12123212598425194</v>
      </c>
      <c r="Q11" s="22">
        <v>9</v>
      </c>
      <c r="R11" s="29" t="s">
        <v>34</v>
      </c>
      <c r="S11" s="30">
        <v>0.25</v>
      </c>
      <c r="T11" s="31">
        <v>0.95</v>
      </c>
      <c r="W11" s="8" t="s">
        <v>45</v>
      </c>
      <c r="X11" s="81">
        <f>(B13+D2+A7)/1000</f>
        <v>9</v>
      </c>
      <c r="Y11" s="81"/>
      <c r="Z11" s="82"/>
    </row>
    <row r="12" spans="1:26" ht="19.5" thickBot="1" x14ac:dyDescent="0.45">
      <c r="A12" s="6"/>
      <c r="B12" s="40"/>
      <c r="C12" s="6"/>
      <c r="N12" s="29" t="s">
        <v>35</v>
      </c>
      <c r="O12" s="30">
        <f t="shared" si="0"/>
        <v>6.5337112860892402E-2</v>
      </c>
      <c r="P12" s="31">
        <f t="shared" si="1"/>
        <v>0.17884556430446197</v>
      </c>
      <c r="Q12" s="22">
        <v>10</v>
      </c>
      <c r="R12" s="29" t="s">
        <v>35</v>
      </c>
      <c r="S12" s="30">
        <v>0.5</v>
      </c>
      <c r="T12" s="31">
        <v>2.5</v>
      </c>
      <c r="W12" s="8" t="s">
        <v>46</v>
      </c>
      <c r="X12" s="37">
        <f>U1*D18/60/D20</f>
        <v>0.52916666666666667</v>
      </c>
      <c r="Y12" s="37">
        <f>U2*D18/60/D20</f>
        <v>0.95250000000000001</v>
      </c>
      <c r="Z12" s="38">
        <f>U3*D18/60/D20</f>
        <v>1.2700000000000002</v>
      </c>
    </row>
    <row r="13" spans="1:26" ht="20.25" thickTop="1" thickBot="1" x14ac:dyDescent="0.45">
      <c r="A13" s="6"/>
      <c r="B13" s="7">
        <v>5000</v>
      </c>
      <c r="C13" s="6"/>
      <c r="N13" s="29" t="s">
        <v>36</v>
      </c>
      <c r="O13" s="30">
        <f t="shared" si="0"/>
        <v>7.4575958005249326E-2</v>
      </c>
      <c r="P13" s="31">
        <f t="shared" si="1"/>
        <v>0.20194267716535433</v>
      </c>
      <c r="Q13" s="22">
        <v>11</v>
      </c>
      <c r="R13" s="29" t="s">
        <v>36</v>
      </c>
      <c r="S13" s="30">
        <v>0.7</v>
      </c>
      <c r="T13" s="31">
        <v>3</v>
      </c>
      <c r="W13" s="8" t="s">
        <v>59</v>
      </c>
      <c r="X13" s="81">
        <f>(B13+A7)/1000</f>
        <v>6</v>
      </c>
      <c r="Y13" s="81"/>
      <c r="Z13" s="82"/>
    </row>
    <row r="14" spans="1:26" ht="19.5" thickTop="1" x14ac:dyDescent="0.4">
      <c r="A14" s="6"/>
      <c r="B14" s="6"/>
      <c r="C14" s="6"/>
      <c r="N14" s="29" t="s">
        <v>37</v>
      </c>
      <c r="O14" s="30">
        <f t="shared" si="0"/>
        <v>8.3814803149606293E-2</v>
      </c>
      <c r="P14" s="31">
        <f t="shared" si="1"/>
        <v>0.22503979002624669</v>
      </c>
      <c r="Q14" s="22">
        <v>12</v>
      </c>
      <c r="R14" s="29" t="s">
        <v>37</v>
      </c>
      <c r="S14" s="30">
        <v>0.9</v>
      </c>
      <c r="T14" s="31">
        <v>3.5</v>
      </c>
      <c r="W14" s="8" t="s">
        <v>79</v>
      </c>
      <c r="X14" s="37">
        <f>(B13+D2)/1000</f>
        <v>8</v>
      </c>
      <c r="Y14" s="37"/>
      <c r="Z14" s="38"/>
    </row>
    <row r="15" spans="1:26" ht="19.5" thickBot="1" x14ac:dyDescent="0.45">
      <c r="N15" s="29" t="s">
        <v>12</v>
      </c>
      <c r="O15" s="30">
        <f t="shared" si="0"/>
        <v>0.17092787401574802</v>
      </c>
      <c r="P15" s="31">
        <f t="shared" si="1"/>
        <v>0.17092787401574802</v>
      </c>
      <c r="Q15" s="22">
        <v>13</v>
      </c>
      <c r="R15" s="29" t="s">
        <v>12</v>
      </c>
      <c r="S15" s="30">
        <v>2.1</v>
      </c>
      <c r="T15" s="31"/>
      <c r="W15" s="8"/>
      <c r="X15" s="37"/>
      <c r="Y15" s="37"/>
      <c r="Z15" s="38"/>
    </row>
    <row r="16" spans="1:26" x14ac:dyDescent="0.4">
      <c r="A16" s="41">
        <v>1</v>
      </c>
      <c r="B16" s="86" t="s">
        <v>17</v>
      </c>
      <c r="C16" s="86"/>
      <c r="D16" s="42" t="s">
        <v>71</v>
      </c>
      <c r="N16" s="29" t="s">
        <v>13</v>
      </c>
      <c r="O16" s="30">
        <f t="shared" si="0"/>
        <v>0.18478614173228342</v>
      </c>
      <c r="P16" s="31">
        <f t="shared" si="1"/>
        <v>0.18478614173228342</v>
      </c>
      <c r="Q16" s="22">
        <v>14</v>
      </c>
      <c r="R16" s="29" t="s">
        <v>13</v>
      </c>
      <c r="S16" s="30">
        <v>2.4</v>
      </c>
      <c r="T16" s="31"/>
      <c r="W16" s="8" t="s">
        <v>54</v>
      </c>
      <c r="X16" s="81">
        <f>B7/1000</f>
        <v>4</v>
      </c>
      <c r="Y16" s="81"/>
      <c r="Z16" s="82"/>
    </row>
    <row r="17" spans="1:32" ht="19.5" thickBot="1" x14ac:dyDescent="0.45">
      <c r="A17" s="43">
        <v>2</v>
      </c>
      <c r="B17" s="81" t="s">
        <v>1</v>
      </c>
      <c r="C17" s="81"/>
      <c r="D17" s="44">
        <v>0.4</v>
      </c>
      <c r="N17" s="29" t="s">
        <v>38</v>
      </c>
      <c r="O17" s="30">
        <f t="shared" si="0"/>
        <v>0.34448881889763788</v>
      </c>
      <c r="P17" s="31">
        <f t="shared" si="1"/>
        <v>0.34448881889763788</v>
      </c>
      <c r="Q17" s="22">
        <v>15</v>
      </c>
      <c r="R17" s="29" t="s">
        <v>38</v>
      </c>
      <c r="S17" s="30"/>
      <c r="T17" s="31">
        <v>7.2</v>
      </c>
      <c r="W17" s="45" t="s">
        <v>55</v>
      </c>
      <c r="X17" s="83">
        <f>G8/1000</f>
        <v>10</v>
      </c>
      <c r="Y17" s="83"/>
      <c r="Z17" s="84"/>
    </row>
    <row r="18" spans="1:32" ht="19.5" thickTop="1" x14ac:dyDescent="0.4">
      <c r="A18" s="43">
        <v>3</v>
      </c>
      <c r="B18" s="81" t="s">
        <v>18</v>
      </c>
      <c r="C18" s="81"/>
      <c r="D18" s="44">
        <v>3</v>
      </c>
      <c r="N18" s="29" t="s">
        <v>39</v>
      </c>
      <c r="O18" s="30">
        <f t="shared" si="0"/>
        <v>0.38952818897637798</v>
      </c>
      <c r="P18" s="31">
        <f t="shared" si="1"/>
        <v>0.38952818897637798</v>
      </c>
      <c r="R18" s="29" t="s">
        <v>39</v>
      </c>
      <c r="S18" s="30"/>
      <c r="T18" s="31">
        <v>8.5</v>
      </c>
      <c r="W18" s="6"/>
      <c r="Z18" s="1" t="s">
        <v>21</v>
      </c>
    </row>
    <row r="19" spans="1:32" ht="19.5" thickBot="1" x14ac:dyDescent="0.45">
      <c r="A19" s="43">
        <v>4</v>
      </c>
      <c r="B19" s="81" t="s">
        <v>19</v>
      </c>
      <c r="C19" s="81"/>
      <c r="D19" s="46">
        <f>D18/D17</f>
        <v>7.5</v>
      </c>
      <c r="N19" s="47" t="s">
        <v>40</v>
      </c>
      <c r="O19" s="79">
        <f t="shared" si="0"/>
        <v>0.44149669291338584</v>
      </c>
      <c r="P19" s="80">
        <f t="shared" si="1"/>
        <v>0.44149669291338584</v>
      </c>
      <c r="R19" s="47" t="s">
        <v>40</v>
      </c>
      <c r="S19" s="48"/>
      <c r="T19" s="49">
        <v>10</v>
      </c>
      <c r="W19" s="6"/>
      <c r="Z19" s="50"/>
      <c r="AA19" s="51" t="s">
        <v>56</v>
      </c>
      <c r="AB19" s="51" t="s">
        <v>57</v>
      </c>
      <c r="AC19" s="51" t="s">
        <v>51</v>
      </c>
      <c r="AD19" s="51" t="s">
        <v>52</v>
      </c>
      <c r="AE19" s="51" t="s">
        <v>53</v>
      </c>
      <c r="AF19" s="52" t="s">
        <v>58</v>
      </c>
    </row>
    <row r="20" spans="1:32" ht="20.25" thickTop="1" thickBot="1" x14ac:dyDescent="0.45">
      <c r="A20" s="43">
        <v>5</v>
      </c>
      <c r="B20" s="81" t="s">
        <v>20</v>
      </c>
      <c r="C20" s="81"/>
      <c r="D20" s="44">
        <v>12</v>
      </c>
      <c r="R20" s="53"/>
      <c r="S20" s="53"/>
      <c r="T20" s="53"/>
      <c r="Z20" s="54" t="s">
        <v>0</v>
      </c>
      <c r="AA20" s="37">
        <f>((T9+X12)/0.127)+4</f>
        <v>13.28477690288714</v>
      </c>
      <c r="AB20" s="37">
        <f>AA20-(X12/0.127)</f>
        <v>9.118110236220474</v>
      </c>
      <c r="AC20" s="37">
        <f>((X11*AA20)+(X16*AB20))*0.33</f>
        <v>51.491692913385833</v>
      </c>
      <c r="AD20" s="37">
        <f>X17*AA20</f>
        <v>132.8477690288714</v>
      </c>
      <c r="AE20" s="37">
        <f>((X13*AA20)+(X16*AB20))*0.33</f>
        <v>38.339763779527566</v>
      </c>
      <c r="AF20" s="55">
        <f>(((AC20+AD20)*1.1)+AE20)/2</f>
        <v>120.55658595800527</v>
      </c>
    </row>
    <row r="21" spans="1:32" ht="20.25" thickTop="1" thickBot="1" x14ac:dyDescent="0.45">
      <c r="A21" s="56">
        <v>6</v>
      </c>
      <c r="B21" s="88" t="s">
        <v>72</v>
      </c>
      <c r="C21" s="88"/>
      <c r="D21" s="57" t="s">
        <v>22</v>
      </c>
      <c r="E21" s="1" t="s">
        <v>73</v>
      </c>
      <c r="Q21" s="58"/>
      <c r="R21" s="59" t="s">
        <v>2</v>
      </c>
      <c r="S21" s="60" t="s">
        <v>3</v>
      </c>
      <c r="T21" s="59" t="s">
        <v>4</v>
      </c>
      <c r="U21" s="59" t="s">
        <v>5</v>
      </c>
      <c r="V21" s="61" t="s">
        <v>6</v>
      </c>
      <c r="W21" s="62"/>
      <c r="Z21" s="54" t="s">
        <v>7</v>
      </c>
      <c r="AA21" s="37">
        <f>((T10+X12)/0.127)+4</f>
        <v>14.465879265091862</v>
      </c>
      <c r="AB21" s="37">
        <f>AA21-(X12/0.127)</f>
        <v>10.299212598425196</v>
      </c>
      <c r="AC21" s="37">
        <f>((X11*AA21)+(X16*AB21))*0.33</f>
        <v>56.558622047244086</v>
      </c>
      <c r="AD21" s="37">
        <f>X17*AA21</f>
        <v>144.65879265091863</v>
      </c>
      <c r="AE21" s="37">
        <f>((X13*AA21)+(X16*AB21))*0.33</f>
        <v>42.237401574803144</v>
      </c>
      <c r="AF21" s="55">
        <f t="shared" ref="AF21:AF30" si="2">(((AC21+AD21)*1.1)+AE21)/2</f>
        <v>131.78827887139107</v>
      </c>
    </row>
    <row r="22" spans="1:32" ht="19.5" thickBot="1" x14ac:dyDescent="0.45">
      <c r="B22" s="63"/>
      <c r="C22" s="63"/>
      <c r="E22" s="1" t="s">
        <v>86</v>
      </c>
      <c r="Q22" s="64" t="s">
        <v>0</v>
      </c>
      <c r="R22" s="65">
        <v>4.8</v>
      </c>
      <c r="S22" s="65">
        <v>2.9</v>
      </c>
      <c r="T22" s="65">
        <v>14</v>
      </c>
      <c r="U22" s="66">
        <f>SUM(M26/R22)</f>
        <v>0</v>
      </c>
      <c r="V22" s="67">
        <f>SUM($D$19/W22)</f>
        <v>1.8229166666666667</v>
      </c>
      <c r="W22" s="68">
        <f>SUM(R22*D20/T22)</f>
        <v>4.1142857142857139</v>
      </c>
      <c r="Z22" s="54" t="s">
        <v>8</v>
      </c>
      <c r="AA22" s="37">
        <f>((T11+X12)/0.127)+4</f>
        <v>15.646981627296586</v>
      </c>
      <c r="AB22" s="37">
        <f>AA22-(X12/0.127)</f>
        <v>11.480314960629919</v>
      </c>
      <c r="AC22" s="37">
        <f>((X11*AA22)+(X16*AB22))*0.33</f>
        <v>61.62555118110236</v>
      </c>
      <c r="AD22" s="37">
        <f>X17*AA22</f>
        <v>156.46981627296586</v>
      </c>
      <c r="AE22" s="37">
        <f>((X13*AA22)+(X16*AB22))*0.33</f>
        <v>46.135039370078736</v>
      </c>
      <c r="AF22" s="55">
        <f t="shared" si="2"/>
        <v>143.01997178477689</v>
      </c>
    </row>
    <row r="23" spans="1:32" ht="18.75" customHeight="1" x14ac:dyDescent="0.4">
      <c r="A23" s="85" t="s">
        <v>43</v>
      </c>
      <c r="B23" s="86"/>
      <c r="C23" s="89" t="s">
        <v>74</v>
      </c>
      <c r="D23" s="89"/>
      <c r="E23" s="90"/>
      <c r="Q23" s="64" t="s">
        <v>7</v>
      </c>
      <c r="R23" s="65">
        <v>7.6</v>
      </c>
      <c r="S23" s="65">
        <v>4.5999999999999996</v>
      </c>
      <c r="T23" s="65">
        <v>14</v>
      </c>
      <c r="U23" s="66">
        <f>SUM(M26/R23)</f>
        <v>0</v>
      </c>
      <c r="V23" s="67">
        <f t="shared" ref="V23:V32" si="3">SUM($D$19/W23)</f>
        <v>1.1513157894736843</v>
      </c>
      <c r="W23" s="68">
        <f>SUM(R23*D20/T23)</f>
        <v>6.5142857142857133</v>
      </c>
      <c r="Z23" s="54" t="s">
        <v>9</v>
      </c>
      <c r="AA23" s="37">
        <f>((T12+Y12)/0.2286)+6</f>
        <v>21.102799650043746</v>
      </c>
      <c r="AB23" s="37">
        <f>AA23-(Y12/0.2286)</f>
        <v>16.936132983377078</v>
      </c>
      <c r="AC23" s="37">
        <f>((X11*AA23)+(X16*AB23))*0.33</f>
        <v>85.031010498687678</v>
      </c>
      <c r="AD23" s="37">
        <f>X17*AA23</f>
        <v>211.02799650043747</v>
      </c>
      <c r="AE23" s="37">
        <f>((X13*AA23)+(X16*AB23))*0.33</f>
        <v>64.139238845144362</v>
      </c>
      <c r="AF23" s="55">
        <f t="shared" si="2"/>
        <v>194.902073272091</v>
      </c>
    </row>
    <row r="24" spans="1:32" ht="18.75" customHeight="1" x14ac:dyDescent="0.4">
      <c r="A24" s="87"/>
      <c r="B24" s="81"/>
      <c r="C24" s="91"/>
      <c r="D24" s="91"/>
      <c r="E24" s="92"/>
      <c r="Q24" s="64" t="s">
        <v>8</v>
      </c>
      <c r="R24" s="65">
        <v>10</v>
      </c>
      <c r="S24" s="65">
        <v>6</v>
      </c>
      <c r="T24" s="65">
        <v>14</v>
      </c>
      <c r="U24" s="66">
        <f>SUM(M26/R24)</f>
        <v>0</v>
      </c>
      <c r="V24" s="67">
        <f t="shared" si="3"/>
        <v>0.875</v>
      </c>
      <c r="W24" s="68">
        <f>SUM(R24*D20/T24)</f>
        <v>8.5714285714285712</v>
      </c>
      <c r="Z24" s="54" t="s">
        <v>10</v>
      </c>
      <c r="AA24" s="37">
        <f>((T13+Y12)/0.2286)+6</f>
        <v>23.290026246719162</v>
      </c>
      <c r="AB24" s="37">
        <f>AA24-(Y12/0.2286)</f>
        <v>19.123359580052494</v>
      </c>
      <c r="AC24" s="37">
        <f>((X11*AA24)+(X16*AB24))*0.33</f>
        <v>94.414212598425195</v>
      </c>
      <c r="AD24" s="37">
        <f>X17*AA24</f>
        <v>232.90026246719162</v>
      </c>
      <c r="AE24" s="37">
        <f>((X13*AA24)+(X16*AB24))*0.33</f>
        <v>71.357086614173227</v>
      </c>
      <c r="AF24" s="55">
        <f t="shared" si="2"/>
        <v>215.70150459317588</v>
      </c>
    </row>
    <row r="25" spans="1:32" ht="18.75" customHeight="1" x14ac:dyDescent="0.4">
      <c r="A25" s="87" t="s">
        <v>44</v>
      </c>
      <c r="B25" s="81"/>
      <c r="C25" s="93">
        <f>IF(C23="AM250",V25,IF(C23="AM400",V26,IF(C23="AM530",V27,IF(C23="AS160",V22,IF(C23="AS250",V23,IF(C23="AS330",V24,IF(C23="ＡＬ800",V32,IF(C23="ＡＬ650",V31,IF(C23="ＡＬ500",V30,IF(C23="AM650",V28,IF(C23="AM800",V29)))))))))))</f>
        <v>0.59713375796178347</v>
      </c>
      <c r="D25" s="93"/>
      <c r="E25" s="94"/>
      <c r="Q25" s="64" t="s">
        <v>9</v>
      </c>
      <c r="R25" s="65">
        <v>15.7</v>
      </c>
      <c r="S25" s="65">
        <v>9.5</v>
      </c>
      <c r="T25" s="65">
        <v>15</v>
      </c>
      <c r="U25" s="66">
        <f>SUM(M26/R25)</f>
        <v>0</v>
      </c>
      <c r="V25" s="67">
        <f t="shared" si="3"/>
        <v>0.59713375796178347</v>
      </c>
      <c r="W25" s="68">
        <f>SUM(R25*D20/T25)</f>
        <v>12.559999999999999</v>
      </c>
      <c r="Z25" s="54" t="s">
        <v>11</v>
      </c>
      <c r="AA25" s="37">
        <f>((T14+Y12)/0.2286)+6</f>
        <v>25.477252843394574</v>
      </c>
      <c r="AB25" s="37">
        <f>AA25-(Y12/0.2286)</f>
        <v>21.310586176727906</v>
      </c>
      <c r="AC25" s="37">
        <f>((X11*AA25)+(X16*AB25))*0.33</f>
        <v>103.79741469816273</v>
      </c>
      <c r="AD25" s="37">
        <f>X17*AA25</f>
        <v>254.77252843394575</v>
      </c>
      <c r="AE25" s="37">
        <f>((X13*AA25)+(X16*AB25))*0.33</f>
        <v>78.574934383202091</v>
      </c>
      <c r="AF25" s="55">
        <f t="shared" si="2"/>
        <v>236.50093591426074</v>
      </c>
    </row>
    <row r="26" spans="1:32" ht="18.75" customHeight="1" x14ac:dyDescent="0.4">
      <c r="A26" s="87"/>
      <c r="B26" s="81"/>
      <c r="C26" s="93"/>
      <c r="D26" s="93"/>
      <c r="E26" s="94"/>
      <c r="Q26" s="64" t="s">
        <v>10</v>
      </c>
      <c r="R26" s="65">
        <v>25.2</v>
      </c>
      <c r="S26" s="65">
        <v>15.2</v>
      </c>
      <c r="T26" s="65">
        <v>15</v>
      </c>
      <c r="U26" s="66">
        <f>SUM(M26/R26)</f>
        <v>0</v>
      </c>
      <c r="V26" s="67">
        <f t="shared" si="3"/>
        <v>0.37202380952380953</v>
      </c>
      <c r="W26" s="68">
        <f>SUM(R26*D20/T26)</f>
        <v>20.16</v>
      </c>
      <c r="Z26" s="54" t="s">
        <v>12</v>
      </c>
      <c r="AA26" s="37">
        <f>((S15+Y12)/0.2286)+7</f>
        <v>20.353018372703414</v>
      </c>
      <c r="AB26" s="37">
        <f>AA26-(Y12/0.2286)</f>
        <v>16.186351706036746</v>
      </c>
      <c r="AC26" s="37">
        <f>((X11*AA26)+(X16*AB26))*0.33</f>
        <v>81.814448818897645</v>
      </c>
      <c r="AD26" s="37">
        <f>X17*AA26</f>
        <v>203.53018372703414</v>
      </c>
      <c r="AE26" s="37">
        <f>((X13*AA26)+(X16*AB26))*0.33</f>
        <v>61.664960629921261</v>
      </c>
      <c r="AF26" s="55">
        <f t="shared" si="2"/>
        <v>187.77202821522314</v>
      </c>
    </row>
    <row r="27" spans="1:32" x14ac:dyDescent="0.4">
      <c r="A27" s="87" t="s">
        <v>69</v>
      </c>
      <c r="B27" s="81"/>
      <c r="C27" s="69" t="b">
        <f>IF(D21="有",Z2,IF(D21="無",Z7))</f>
        <v>0</v>
      </c>
      <c r="D27" s="69">
        <f>IF(D21="有",Z3,IF(D21="無",Z8))</f>
        <v>92.685347987751555</v>
      </c>
      <c r="E27" s="70" t="b">
        <f>IF(D21="有",Z4,IF(D21="無",Z4))</f>
        <v>0</v>
      </c>
      <c r="G27" s="103" t="s">
        <v>94</v>
      </c>
      <c r="H27" s="103"/>
      <c r="I27" s="103"/>
      <c r="J27" s="103"/>
      <c r="K27" s="103"/>
      <c r="L27" s="103"/>
      <c r="M27" s="103"/>
      <c r="Q27" s="64" t="s">
        <v>11</v>
      </c>
      <c r="R27" s="65">
        <v>33.4</v>
      </c>
      <c r="S27" s="65">
        <v>20</v>
      </c>
      <c r="T27" s="65">
        <v>15</v>
      </c>
      <c r="U27" s="66">
        <f>SUM(M26/R27)</f>
        <v>0</v>
      </c>
      <c r="V27" s="67">
        <f t="shared" si="3"/>
        <v>0.28068862275449108</v>
      </c>
      <c r="W27" s="68">
        <f>SUM(R27*D20/T27)</f>
        <v>26.719999999999995</v>
      </c>
      <c r="Z27" s="54" t="s">
        <v>13</v>
      </c>
      <c r="AA27" s="37">
        <f>((S16+Y12)/0.2286)+7</f>
        <v>21.665354330708659</v>
      </c>
      <c r="AB27" s="37">
        <f>AA27-(Y12/0.2286)</f>
        <v>17.498687664041991</v>
      </c>
      <c r="AC27" s="37">
        <f>((X11*AA27)+(X16*AB27))*0.33</f>
        <v>87.44437007874015</v>
      </c>
      <c r="AD27" s="37">
        <f>X17*AA27</f>
        <v>216.65354330708658</v>
      </c>
      <c r="AE27" s="37">
        <f>((X13*AA27)+(X16*AB27))*0.33</f>
        <v>65.995669291338587</v>
      </c>
      <c r="AF27" s="55">
        <f t="shared" si="2"/>
        <v>200.25168700787398</v>
      </c>
    </row>
    <row r="28" spans="1:32" x14ac:dyDescent="0.4">
      <c r="A28" s="87"/>
      <c r="B28" s="81"/>
      <c r="C28" s="69" t="s">
        <v>65</v>
      </c>
      <c r="D28" s="69" t="s">
        <v>66</v>
      </c>
      <c r="E28" s="70" t="s">
        <v>67</v>
      </c>
      <c r="G28" s="104"/>
      <c r="H28" s="105" t="s">
        <v>87</v>
      </c>
      <c r="I28" s="105" t="s">
        <v>88</v>
      </c>
      <c r="J28" s="105" t="s">
        <v>92</v>
      </c>
      <c r="K28" s="110" t="s">
        <v>93</v>
      </c>
      <c r="L28" s="111"/>
      <c r="M28" s="103"/>
      <c r="Q28" s="71" t="s">
        <v>12</v>
      </c>
      <c r="R28" s="72">
        <v>40.9</v>
      </c>
      <c r="S28" s="72">
        <v>24.7</v>
      </c>
      <c r="T28" s="72">
        <v>15</v>
      </c>
      <c r="U28" s="66">
        <f>SUM(M26/R28)</f>
        <v>0</v>
      </c>
      <c r="V28" s="67">
        <f t="shared" si="3"/>
        <v>0.22921760391198046</v>
      </c>
      <c r="W28" s="68">
        <f>SUM(R28*D20/T28)</f>
        <v>32.72</v>
      </c>
      <c r="Z28" s="54" t="s">
        <v>14</v>
      </c>
      <c r="AA28" s="37">
        <f>((T17+Z12)/0.3048)+9</f>
        <v>36.78871391076116</v>
      </c>
      <c r="AB28" s="37">
        <f>AA28-(Z12/0.3048)</f>
        <v>32.622047244094496</v>
      </c>
      <c r="AC28" s="37">
        <f>((X11*AA28)+(X16*AB28))*0.33</f>
        <v>152.3235826771654</v>
      </c>
      <c r="AD28" s="37">
        <f>X17*AA28</f>
        <v>367.88713910761157</v>
      </c>
      <c r="AE28" s="37">
        <f>((X13*AA28)+(X16*AB28))*0.33</f>
        <v>115.90275590551184</v>
      </c>
      <c r="AF28" s="55">
        <f t="shared" si="2"/>
        <v>344.06727493438331</v>
      </c>
    </row>
    <row r="29" spans="1:32" x14ac:dyDescent="0.4">
      <c r="A29" s="43" t="s">
        <v>64</v>
      </c>
      <c r="B29" s="97" t="s">
        <v>68</v>
      </c>
      <c r="C29" s="97"/>
      <c r="D29" s="97"/>
      <c r="E29" s="98"/>
      <c r="G29" s="106">
        <v>2050</v>
      </c>
      <c r="H29" s="107">
        <v>440</v>
      </c>
      <c r="I29" s="107">
        <v>70</v>
      </c>
      <c r="J29" s="107">
        <v>105</v>
      </c>
      <c r="K29" s="112">
        <v>189</v>
      </c>
      <c r="L29" s="113" t="s">
        <v>89</v>
      </c>
      <c r="Q29" s="64" t="s">
        <v>13</v>
      </c>
      <c r="R29" s="65">
        <v>50.4</v>
      </c>
      <c r="S29" s="65">
        <v>30.4</v>
      </c>
      <c r="T29" s="65">
        <v>15</v>
      </c>
      <c r="U29" s="66">
        <f>SUM(M26/R29)</f>
        <v>0</v>
      </c>
      <c r="V29" s="67">
        <f t="shared" si="3"/>
        <v>0.18601190476190477</v>
      </c>
      <c r="W29" s="68">
        <f>SUM(R29*D20/T29)</f>
        <v>40.32</v>
      </c>
      <c r="Z29" s="54" t="s">
        <v>15</v>
      </c>
      <c r="AA29" s="37">
        <f>((Z12+T18)/0.3048)+9</f>
        <v>41.05380577427821</v>
      </c>
      <c r="AB29" s="37">
        <f>AA29-(Z12/0.3048)</f>
        <v>36.887139107611546</v>
      </c>
      <c r="AC29" s="37">
        <f>((X11*AA29)+(X16*AB29))*0.33</f>
        <v>170.6208267716535</v>
      </c>
      <c r="AD29" s="37">
        <f>X17*AA29</f>
        <v>410.53805774278209</v>
      </c>
      <c r="AE29" s="37">
        <f>((X13*AA29)+(X16*AB29))*0.33</f>
        <v>129.97755905511812</v>
      </c>
      <c r="AF29" s="55">
        <f t="shared" si="2"/>
        <v>384.62616601049871</v>
      </c>
    </row>
    <row r="30" spans="1:32" x14ac:dyDescent="0.4">
      <c r="A30" s="87" t="s">
        <v>60</v>
      </c>
      <c r="B30" s="81"/>
      <c r="C30" s="81">
        <f>IF(C23="AM250",X3,IF(C23="AM400",X3,IF(C23="AM530",X3,IF(C23="AS160",X2,IF(C23="AS250",X2,IF(C23="AS330",X2,IF(C23="ＡＬ800",X4,IF(C23="ＡＬ650",X4,IF(C23="ＡＬ500",X4,IF(C23="AM650",X3,IF(C23="AM800",X3)))))))))))</f>
        <v>2060</v>
      </c>
      <c r="D30" s="81"/>
      <c r="E30" s="46" t="str">
        <f>IF(D21="有",Y2,IF(D21="無",Y7))</f>
        <v>( S )</v>
      </c>
      <c r="G30" s="116">
        <v>2060</v>
      </c>
      <c r="H30" s="117">
        <v>640</v>
      </c>
      <c r="I30" s="117">
        <v>105</v>
      </c>
      <c r="J30" s="117">
        <v>160</v>
      </c>
      <c r="K30" s="112">
        <v>283</v>
      </c>
      <c r="L30" s="113" t="s">
        <v>90</v>
      </c>
      <c r="Q30" s="64" t="s">
        <v>14</v>
      </c>
      <c r="R30" s="65">
        <v>42.3</v>
      </c>
      <c r="S30" s="65">
        <v>25.4</v>
      </c>
      <c r="T30" s="65">
        <v>15</v>
      </c>
      <c r="U30" s="66">
        <f>SUM(M26/R30)</f>
        <v>0</v>
      </c>
      <c r="V30" s="67">
        <f t="shared" si="3"/>
        <v>0.22163120567375888</v>
      </c>
      <c r="W30" s="68">
        <f>SUM(R30*D20/T30)</f>
        <v>33.839999999999996</v>
      </c>
      <c r="Z30" s="73" t="s">
        <v>16</v>
      </c>
      <c r="AA30" s="74">
        <f>((T19+Z12)/0.3048)+9</f>
        <v>45.975065616797899</v>
      </c>
      <c r="AB30" s="74">
        <f>AA30-(Z12/0.3048)</f>
        <v>41.808398950131235</v>
      </c>
      <c r="AC30" s="74">
        <f>((X11*AA30)+(X16*AB30))*0.33</f>
        <v>191.73303149606301</v>
      </c>
      <c r="AD30" s="74">
        <f>X17*AA30</f>
        <v>459.750656167979</v>
      </c>
      <c r="AE30" s="74">
        <f>((X13*AA30)+(X16*AB30))*0.33</f>
        <v>146.21771653543308</v>
      </c>
      <c r="AF30" s="75">
        <f t="shared" si="2"/>
        <v>431.42488648293966</v>
      </c>
    </row>
    <row r="31" spans="1:32" ht="19.5" thickBot="1" x14ac:dyDescent="0.45">
      <c r="A31" s="96" t="s">
        <v>61</v>
      </c>
      <c r="B31" s="88"/>
      <c r="C31" s="88" t="str">
        <f>IF(D21="有",T8,IF(D21="無",S8))</f>
        <v>PP</v>
      </c>
      <c r="D31" s="88"/>
      <c r="E31" s="95"/>
      <c r="G31" s="108">
        <v>2080</v>
      </c>
      <c r="H31" s="109">
        <v>1090</v>
      </c>
      <c r="I31" s="109">
        <v>180</v>
      </c>
      <c r="J31" s="109">
        <v>270</v>
      </c>
      <c r="K31" s="114">
        <v>486</v>
      </c>
      <c r="L31" s="115" t="s">
        <v>91</v>
      </c>
      <c r="Q31" s="64" t="s">
        <v>15</v>
      </c>
      <c r="R31" s="65">
        <v>54.9</v>
      </c>
      <c r="S31" s="65">
        <v>32.9</v>
      </c>
      <c r="T31" s="65">
        <v>15</v>
      </c>
      <c r="U31" s="66">
        <f>SUM(M26/R31)</f>
        <v>0</v>
      </c>
      <c r="V31" s="67">
        <f t="shared" si="3"/>
        <v>0.17076502732240439</v>
      </c>
      <c r="W31" s="68">
        <f>SUM(R31*D20/T31)</f>
        <v>43.919999999999995</v>
      </c>
    </row>
    <row r="32" spans="1:32" ht="19.5" thickBot="1" x14ac:dyDescent="0.45">
      <c r="Q32" s="76" t="s">
        <v>16</v>
      </c>
      <c r="R32" s="77">
        <v>67.599999999999994</v>
      </c>
      <c r="S32" s="77">
        <v>40.6</v>
      </c>
      <c r="T32" s="77">
        <v>15</v>
      </c>
      <c r="U32" s="78">
        <f>SUM(M26/R32)</f>
        <v>0</v>
      </c>
      <c r="V32" s="67">
        <f t="shared" si="3"/>
        <v>0.13868343195266272</v>
      </c>
      <c r="W32" s="68">
        <f>SUM(R32*D20/T32)</f>
        <v>54.08</v>
      </c>
      <c r="Z32" s="1" t="s">
        <v>50</v>
      </c>
    </row>
    <row r="33" spans="1:32" ht="37.5" customHeight="1" thickTop="1" x14ac:dyDescent="0.4">
      <c r="A33" s="99" t="s">
        <v>83</v>
      </c>
      <c r="B33" s="100"/>
      <c r="C33" s="100" t="str">
        <f>IF(O7&lt;0.15,"0.2Kw",IF(O7&lt;0.35,"0.4Kw",IF(O7&lt;0.6,"0.75Kw",IF(O7&lt;1.3,"1.5Kw",IF(O7&lt;2,"2.2Kw",IF(O7&lt;3.2,"3.7Kw",IF(O7&lt;5,"5.5Kw")))))))</f>
        <v>0.75Kw</v>
      </c>
      <c r="D33" s="100"/>
      <c r="E33" s="100" t="s">
        <v>84</v>
      </c>
      <c r="F33" s="102"/>
      <c r="Z33" s="50"/>
      <c r="AA33" s="51" t="s">
        <v>56</v>
      </c>
      <c r="AB33" s="51" t="s">
        <v>57</v>
      </c>
      <c r="AC33" s="51" t="s">
        <v>51</v>
      </c>
      <c r="AD33" s="51" t="s">
        <v>52</v>
      </c>
      <c r="AE33" s="51" t="s">
        <v>53</v>
      </c>
      <c r="AF33" s="52" t="s">
        <v>58</v>
      </c>
    </row>
    <row r="34" spans="1:32" ht="37.5" customHeight="1" thickBot="1" x14ac:dyDescent="0.45">
      <c r="A34" s="101"/>
      <c r="B34" s="83"/>
      <c r="C34" s="83" t="str">
        <f>IF(P7&lt;0.15,"0.2Kw",IF(P7&lt;0.35,"0.4Kw",IF(P7&lt;0.6,"0.75Kw",IF(P7&lt;1.3,"1.5Kw",IF(P7&lt;2,"2.2Kw",IF(P7&lt;3.2,"3.7Kw",IF(P7&lt;5,"5.5Kw")))))))</f>
        <v>1.5Kw</v>
      </c>
      <c r="D34" s="83"/>
      <c r="E34" s="83" t="s">
        <v>85</v>
      </c>
      <c r="F34" s="84"/>
      <c r="Q34" s="1" t="str">
        <f>IF(C23="AM250",R35,IF(C23="AM400",R35,IF(C23="AM530",R35,IF(C23="AS160",R34,IF(C23="AS250",R34,IF(C23="AS330",R34,IF(C23="ＡＬ800",R36,IF(C23="ＡＬ650",R36,IF(C23="ＡＬ500",R36,IF(C23="AM650",R35,IF(C23="AM800",R35)))))))))))</f>
        <v>AM</v>
      </c>
      <c r="R34" s="1" t="s">
        <v>65</v>
      </c>
      <c r="Z34" s="54" t="s">
        <v>0</v>
      </c>
      <c r="AA34" s="37">
        <f>((S9+$X$12)/0.127)+2</f>
        <v>7.3477690288713911</v>
      </c>
      <c r="AB34" s="37">
        <f>AA34-(X12/0.127)</f>
        <v>3.1811023622047241</v>
      </c>
      <c r="AC34" s="37">
        <f>((X11*AA34)+(X16*AB34))*0.33</f>
        <v>26.021929133858272</v>
      </c>
      <c r="AD34" s="37">
        <f>X17*AA34</f>
        <v>73.477690288713916</v>
      </c>
      <c r="AE34" s="37">
        <f>((X13*AA34)+(X16*AB34))*0.33</f>
        <v>18.74763779527559</v>
      </c>
      <c r="AF34" s="55">
        <f>(((AC34+AD34)*1.1)+AE34)/2</f>
        <v>64.098609580052496</v>
      </c>
    </row>
    <row r="35" spans="1:32" ht="19.5" thickTop="1" x14ac:dyDescent="0.4">
      <c r="R35" s="1" t="s">
        <v>66</v>
      </c>
      <c r="Z35" s="54" t="s">
        <v>7</v>
      </c>
      <c r="AA35" s="37">
        <f t="shared" ref="AA35:AA36" si="4">((S10+$X$12)/0.127)+2</f>
        <v>7.741469816272966</v>
      </c>
      <c r="AB35" s="37">
        <f>AA35-(X12/0.127)</f>
        <v>3.5748031496062991</v>
      </c>
      <c r="AC35" s="37">
        <f>((X11*AA35)+(X16*AB35))*0.33</f>
        <v>27.710905511811028</v>
      </c>
      <c r="AD35" s="37">
        <f>X17*AA35</f>
        <v>77.414698162729664</v>
      </c>
      <c r="AE35" s="37">
        <f>((X13*AA35)+(X16*AB35))*0.33</f>
        <v>20.04685039370079</v>
      </c>
      <c r="AF35" s="55">
        <f t="shared" ref="AF35:AF44" si="5">(((AC35+AD35)*1.1)+AE35)/2</f>
        <v>67.842507217847768</v>
      </c>
    </row>
    <row r="36" spans="1:32" x14ac:dyDescent="0.4">
      <c r="R36" s="1" t="s">
        <v>67</v>
      </c>
      <c r="Z36" s="54" t="s">
        <v>8</v>
      </c>
      <c r="AA36" s="37">
        <f t="shared" si="4"/>
        <v>8.1351706036745419</v>
      </c>
      <c r="AB36" s="37">
        <f>AA36-(X12/0.127)</f>
        <v>3.968503937007875</v>
      </c>
      <c r="AC36" s="37">
        <f>((X11*AA36)+(X16*AB36))*0.33</f>
        <v>29.399881889763783</v>
      </c>
      <c r="AD36" s="37">
        <f>X17*AA36</f>
        <v>81.351706036745412</v>
      </c>
      <c r="AE36" s="37">
        <f>(($X$13*AA36)+($X$16*AB36))*0.33</f>
        <v>21.34606299212599</v>
      </c>
      <c r="AF36" s="55">
        <f t="shared" si="5"/>
        <v>71.586404855643053</v>
      </c>
    </row>
    <row r="37" spans="1:32" x14ac:dyDescent="0.4">
      <c r="Z37" s="54" t="s">
        <v>9</v>
      </c>
      <c r="AA37" s="37">
        <f>((S12+$Y$12)/0.2286)+4</f>
        <v>10.353893263342083</v>
      </c>
      <c r="AB37" s="37">
        <f>AA37-(Y12/0.2286)</f>
        <v>6.1872265966754165</v>
      </c>
      <c r="AC37" s="37">
        <f>((X11*AA37)+(X16*AB37))*0.33</f>
        <v>38.918202099737542</v>
      </c>
      <c r="AD37" s="37">
        <f>X17*AA37</f>
        <v>103.53893263342084</v>
      </c>
      <c r="AE37" s="37">
        <f>(($X$13*AA37)+($X$16*AB37))*0.33</f>
        <v>28.667847769028878</v>
      </c>
      <c r="AF37" s="55">
        <f t="shared" si="5"/>
        <v>92.685347987751555</v>
      </c>
    </row>
    <row r="38" spans="1:32" x14ac:dyDescent="0.4">
      <c r="Z38" s="54" t="s">
        <v>10</v>
      </c>
      <c r="AA38" s="37">
        <f t="shared" ref="AA38:AA39" si="6">((S13+$Y$12)/0.2286)+4</f>
        <v>11.228783902012248</v>
      </c>
      <c r="AB38" s="37">
        <f>AA38-(Y12/0.2286)</f>
        <v>7.062117235345581</v>
      </c>
      <c r="AC38" s="37">
        <f>((X11*AA38)+(X16*AB38))*0.33</f>
        <v>42.671482939632547</v>
      </c>
      <c r="AD38" s="37">
        <f>X17*AA38</f>
        <v>112.28783902012248</v>
      </c>
      <c r="AE38" s="37">
        <f t="shared" ref="AE38:AE44" si="7">(($X$13*AA38)+($X$16*AB38))*0.33</f>
        <v>31.55498687664042</v>
      </c>
      <c r="AF38" s="55">
        <f t="shared" si="5"/>
        <v>101.00512051618547</v>
      </c>
    </row>
    <row r="39" spans="1:32" x14ac:dyDescent="0.4">
      <c r="Z39" s="54" t="s">
        <v>11</v>
      </c>
      <c r="AA39" s="37">
        <f t="shared" si="6"/>
        <v>12.103674540682414</v>
      </c>
      <c r="AB39" s="37">
        <f>AA39-(Y12/0.2286)</f>
        <v>7.9370078740157473</v>
      </c>
      <c r="AC39" s="37">
        <f>((X11*AA39)+(X16*AB39))*0.33</f>
        <v>46.424763779527559</v>
      </c>
      <c r="AD39" s="37">
        <f>X17*AA39</f>
        <v>121.03674540682414</v>
      </c>
      <c r="AE39" s="37">
        <f t="shared" si="7"/>
        <v>34.442125984251973</v>
      </c>
      <c r="AF39" s="55">
        <f t="shared" si="5"/>
        <v>109.32489304461942</v>
      </c>
    </row>
    <row r="40" spans="1:32" x14ac:dyDescent="0.4">
      <c r="Z40" s="54" t="s">
        <v>12</v>
      </c>
      <c r="AA40" s="37">
        <f>((S15+$Y$12)/0.2286)+7</f>
        <v>20.353018372703414</v>
      </c>
      <c r="AB40" s="37">
        <f>AA40-(Y12/0.2286)</f>
        <v>16.186351706036746</v>
      </c>
      <c r="AC40" s="37">
        <f>((X11*AA40)+(X16*AB40))*0.33</f>
        <v>81.814448818897645</v>
      </c>
      <c r="AD40" s="37">
        <f>X17*AA40</f>
        <v>203.53018372703414</v>
      </c>
      <c r="AE40" s="37">
        <f t="shared" si="7"/>
        <v>61.664960629921261</v>
      </c>
      <c r="AF40" s="55">
        <f t="shared" si="5"/>
        <v>187.77202821522314</v>
      </c>
    </row>
    <row r="41" spans="1:32" x14ac:dyDescent="0.4">
      <c r="Z41" s="54" t="s">
        <v>13</v>
      </c>
      <c r="AA41" s="37">
        <f>((S16+$Y$12)/0.2286)+7</f>
        <v>21.665354330708659</v>
      </c>
      <c r="AB41" s="37">
        <f>AA41-(Y12/0.2286)</f>
        <v>17.498687664041991</v>
      </c>
      <c r="AC41" s="37">
        <f>((X11*AA41)+(X16*AB41))*0.33</f>
        <v>87.44437007874015</v>
      </c>
      <c r="AD41" s="37">
        <f>X17*AA41</f>
        <v>216.65354330708658</v>
      </c>
      <c r="AE41" s="37">
        <f t="shared" si="7"/>
        <v>65.995669291338587</v>
      </c>
      <c r="AF41" s="55">
        <f t="shared" si="5"/>
        <v>200.25168700787398</v>
      </c>
    </row>
    <row r="42" spans="1:32" x14ac:dyDescent="0.4">
      <c r="Z42" s="54" t="s">
        <v>14</v>
      </c>
      <c r="AA42" s="37">
        <f>((T17+$Z$12)/0.3048)+9</f>
        <v>36.78871391076116</v>
      </c>
      <c r="AB42" s="37">
        <f>AA42-(Z12/0.3048)</f>
        <v>32.622047244094496</v>
      </c>
      <c r="AC42" s="37">
        <f>((X11*AA42)+(X16*AB42))*0.33</f>
        <v>152.3235826771654</v>
      </c>
      <c r="AD42" s="37">
        <f>X17*AA42</f>
        <v>367.88713910761157</v>
      </c>
      <c r="AE42" s="37">
        <f t="shared" si="7"/>
        <v>115.90275590551184</v>
      </c>
      <c r="AF42" s="55">
        <f t="shared" si="5"/>
        <v>344.06727493438331</v>
      </c>
    </row>
    <row r="43" spans="1:32" x14ac:dyDescent="0.4">
      <c r="Z43" s="54" t="s">
        <v>15</v>
      </c>
      <c r="AA43" s="37">
        <f t="shared" ref="AA43:AA44" si="8">((T18+$Z$12)/0.3048)+9</f>
        <v>41.05380577427821</v>
      </c>
      <c r="AB43" s="37">
        <f>AA43-(Z12/0.3048)</f>
        <v>36.887139107611546</v>
      </c>
      <c r="AC43" s="37">
        <f>((X11*AA43)+(X16*AB43))*0.33</f>
        <v>170.6208267716535</v>
      </c>
      <c r="AD43" s="37">
        <f>X17*AA43</f>
        <v>410.53805774278209</v>
      </c>
      <c r="AE43" s="37">
        <f t="shared" si="7"/>
        <v>129.97755905511812</v>
      </c>
      <c r="AF43" s="55">
        <f t="shared" si="5"/>
        <v>384.62616601049871</v>
      </c>
    </row>
    <row r="44" spans="1:32" x14ac:dyDescent="0.4">
      <c r="Z44" s="73" t="s">
        <v>16</v>
      </c>
      <c r="AA44" s="37">
        <f t="shared" si="8"/>
        <v>45.975065616797899</v>
      </c>
      <c r="AB44" s="74">
        <f>AA44-(Z12/0.3048)</f>
        <v>41.808398950131235</v>
      </c>
      <c r="AC44" s="74">
        <f>((X11*AA44)+(X16*AB44))*0.33</f>
        <v>191.73303149606301</v>
      </c>
      <c r="AD44" s="74">
        <f>X17*AA44</f>
        <v>459.750656167979</v>
      </c>
      <c r="AE44" s="37">
        <f t="shared" si="7"/>
        <v>146.21771653543308</v>
      </c>
      <c r="AF44" s="75">
        <f t="shared" si="5"/>
        <v>431.42488648293966</v>
      </c>
    </row>
  </sheetData>
  <sheetProtection algorithmName="SHA-512" hashValue="k8kri6+ay5CuutCljGJkpCIH+ZPsUZZta4Xo9I/wMWocU40Mb277tWy8vMSzYpGZsfB5cN4Sfx3ZqmoFqGQ55w==" saltValue="PO8JLtbJa2GpIKPxg8efhg==" spinCount="100000" sheet="1" objects="1" scenarios="1"/>
  <mergeCells count="26">
    <mergeCell ref="A33:B34"/>
    <mergeCell ref="C33:D33"/>
    <mergeCell ref="C34:D34"/>
    <mergeCell ref="E33:F33"/>
    <mergeCell ref="E34:F34"/>
    <mergeCell ref="C25:E26"/>
    <mergeCell ref="C31:E31"/>
    <mergeCell ref="A27:B27"/>
    <mergeCell ref="A28:B28"/>
    <mergeCell ref="A31:B31"/>
    <mergeCell ref="B29:E29"/>
    <mergeCell ref="A25:B26"/>
    <mergeCell ref="A30:B30"/>
    <mergeCell ref="C30:D30"/>
    <mergeCell ref="X11:Z11"/>
    <mergeCell ref="X16:Z16"/>
    <mergeCell ref="X17:Z17"/>
    <mergeCell ref="X13:Z13"/>
    <mergeCell ref="A23:B24"/>
    <mergeCell ref="B16:C16"/>
    <mergeCell ref="B17:C17"/>
    <mergeCell ref="B18:C18"/>
    <mergeCell ref="B19:C19"/>
    <mergeCell ref="B20:C20"/>
    <mergeCell ref="B21:C21"/>
    <mergeCell ref="C23:E24"/>
  </mergeCells>
  <phoneticPr fontId="2"/>
  <conditionalFormatting sqref="V22:V32">
    <cfRule type="cellIs" dxfId="5" priority="7" operator="between">
      <formula>0</formula>
      <formula>0.6</formula>
    </cfRule>
  </conditionalFormatting>
  <conditionalFormatting sqref="C25">
    <cfRule type="cellIs" dxfId="4" priority="6" operator="greaterThan">
      <formula>0.6</formula>
    </cfRule>
  </conditionalFormatting>
  <conditionalFormatting sqref="AF20:AF22">
    <cfRule type="cellIs" dxfId="3" priority="5" operator="greaterThan">
      <formula>70</formula>
    </cfRule>
  </conditionalFormatting>
  <conditionalFormatting sqref="C27">
    <cfRule type="cellIs" dxfId="2" priority="3" operator="greaterThan">
      <formula>70</formula>
    </cfRule>
  </conditionalFormatting>
  <conditionalFormatting sqref="D27">
    <cfRule type="cellIs" dxfId="1" priority="2" operator="greaterThan">
      <formula>105</formula>
    </cfRule>
  </conditionalFormatting>
  <conditionalFormatting sqref="E27">
    <cfRule type="cellIs" dxfId="0" priority="1" operator="greaterThan">
      <formula>180</formula>
    </cfRule>
  </conditionalFormatting>
  <dataValidations count="3">
    <dataValidation type="list" allowBlank="1" showInputMessage="1" showErrorMessage="1" sqref="D21" xr:uid="{9C085C00-62D3-435C-9FE6-096FC01224F6}">
      <formula1>$Q$4:$Q$5</formula1>
    </dataValidation>
    <dataValidation type="list" allowBlank="1" showInputMessage="1" showErrorMessage="1" sqref="D20" xr:uid="{87BBBCF4-F961-4ADB-9B8F-C07BE618B400}">
      <formula1>$Q$7:$Q$17</formula1>
    </dataValidation>
    <dataValidation type="list" allowBlank="1" showInputMessage="1" showErrorMessage="1" sqref="C23" xr:uid="{990A9DDF-DD52-4C1A-BA04-1DB039C91751}">
      <formula1>$Q$22:$Q$32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山元勇輝</dc:creator>
  <cp:lastModifiedBy>山元勇輝</cp:lastModifiedBy>
  <dcterms:created xsi:type="dcterms:W3CDTF">2022-02-02T01:22:33Z</dcterms:created>
  <dcterms:modified xsi:type="dcterms:W3CDTF">2022-03-03T01:42:25Z</dcterms:modified>
</cp:coreProperties>
</file>